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02.สุขภาพแฃ็งแรงเฮงเฮงร่ำรวย(3 มกราคม 2567)5595เชียงดา\1.เงินสะสม อบต.เชียงดา(23 มค.67)\3.ประมาณราคาจริงจริง(29 มีค.67)\"/>
    </mc:Choice>
  </mc:AlternateContent>
  <xr:revisionPtr revIDLastSave="0" documentId="13_ncr:1_{CA3CA3C9-685C-4D35-B36D-369F085EDA5E}" xr6:coauthVersionLast="47" xr6:coauthVersionMax="47" xr10:uidLastSave="{00000000-0000-0000-0000-000000000000}"/>
  <bookViews>
    <workbookView xWindow="-108" yWindow="-108" windowWidth="23256" windowHeight="12456" tabRatio="964" firstSheet="1" activeTab="10" xr2:uid="{00000000-000D-0000-FFFF-FFFF00000000}"/>
  </bookViews>
  <sheets>
    <sheet name="2.ข้อมูลวัสดุ" sheetId="7" r:id="rId1"/>
    <sheet name="3.สืบท่อโฟมลูกรังทรายเหล็กป้าย" sheetId="8" r:id="rId2"/>
    <sheet name="ปร.4(เอ)" sheetId="27" r:id="rId3"/>
    <sheet name="ตู่" sheetId="32" r:id="rId4"/>
    <sheet name="ทดสอบดิน" sheetId="25" r:id="rId5"/>
    <sheet name="งานดิน " sheetId="26" r:id="rId6"/>
    <sheet name="ประปา" sheetId="33" r:id="rId7"/>
    <sheet name="ปร4 ครุภัณฑ์โซล่าเซลล์" sheetId="42" r:id="rId8"/>
    <sheet name="ปร4 โครงสร้างโซล่าเซลล์" sheetId="41" r:id="rId9"/>
    <sheet name="ปร4 โครงสร้างหอถัง" sheetId="5" r:id="rId10"/>
    <sheet name="ปร5 กทั้งหมด" sheetId="6" r:id="rId11"/>
    <sheet name="ไม้แบบ" sheetId="31" r:id="rId12"/>
    <sheet name="วัสดุมวลรวมก่ออิฐฉาบปูน (2)" sheetId="29" r:id="rId13"/>
    <sheet name="วัสดุมวลรวมทาสีอาคาร  (2)" sheetId="30" r:id="rId14"/>
    <sheet name="คิดตอม่อโซล่า" sheetId="43" r:id="rId15"/>
    <sheet name="3412010" sheetId="24" r:id="rId16"/>
    <sheet name="ปร4 ครุภัณฑ์" sheetId="21" r:id="rId17"/>
    <sheet name="Sheet1" sheetId="44" r:id="rId18"/>
    <sheet name="Sheet2" sheetId="45" r:id="rId19"/>
    <sheet name="ปร5 ข ครุภัณฑ์" sheetId="18" r:id="rId20"/>
    <sheet name="ปร6 (อาร์ม)" sheetId="19" r:id="rId21"/>
    <sheet name="ปริมาณงาน" sheetId="22" r:id="rId22"/>
    <sheet name="วัสดุมวลรวมก่ออิฐฉาบปูน" sheetId="11" r:id="rId23"/>
    <sheet name="วัสดุมวลรวมปูกระเบื้อง" sheetId="14" r:id="rId24"/>
    <sheet name="วัสดุมวลรวมทาสีอาคาร " sheetId="9" r:id="rId25"/>
    <sheet name="วัสดุมวลรวมบุผนังกระเบื้อง " sheetId="17" r:id="rId26"/>
    <sheet name="บันทึกสืบฝ้าเพดาน" sheetId="16" r:id="rId27"/>
    <sheet name="วัสดุมวลรวมฝ้าเพดาน" sheetId="15" r:id="rId28"/>
    <sheet name="ทับหลังเสาเอ็น" sheetId="23" r:id="rId29"/>
    <sheet name="งานป้ายโครงการ" sheetId="4" r:id="rId30"/>
    <sheet name="3.สืบสี" sheetId="10" r:id="rId31"/>
    <sheet name="คิดรั้วเก่า" sheetId="12" r:id="rId32"/>
  </sheets>
  <externalReferences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a" localSheetId="0">#REF!</definedName>
    <definedName name="\a" localSheetId="1">#REF!</definedName>
    <definedName name="\a" localSheetId="30">#REF!</definedName>
    <definedName name="\a" localSheetId="14">#REF!</definedName>
    <definedName name="\a" localSheetId="16">#REF!</definedName>
    <definedName name="\a" localSheetId="7">#REF!</definedName>
    <definedName name="\a" localSheetId="8">#REF!</definedName>
    <definedName name="\a" localSheetId="9">#REF!</definedName>
    <definedName name="\a" localSheetId="10">#REF!</definedName>
    <definedName name="\a" localSheetId="19">#REF!</definedName>
    <definedName name="\a" localSheetId="20">#REF!</definedName>
    <definedName name="\a" localSheetId="6">#REF!</definedName>
    <definedName name="\a" localSheetId="11">#REF!</definedName>
    <definedName name="\a" localSheetId="12">#REF!</definedName>
    <definedName name="\a" localSheetId="13">#REF!</definedName>
    <definedName name="\a">#REF!</definedName>
    <definedName name="\z" localSheetId="0">#REF!</definedName>
    <definedName name="\z" localSheetId="1">#REF!</definedName>
    <definedName name="\z" localSheetId="30">#REF!</definedName>
    <definedName name="\z" localSheetId="14">#REF!</definedName>
    <definedName name="\z" localSheetId="16">#REF!</definedName>
    <definedName name="\z" localSheetId="7">#REF!</definedName>
    <definedName name="\z" localSheetId="8">#REF!</definedName>
    <definedName name="\z" localSheetId="9">#REF!</definedName>
    <definedName name="\z" localSheetId="10">#REF!</definedName>
    <definedName name="\z" localSheetId="19">#REF!</definedName>
    <definedName name="\z" localSheetId="20">#REF!</definedName>
    <definedName name="\z" localSheetId="6">#REF!</definedName>
    <definedName name="\z" localSheetId="11">#REF!</definedName>
    <definedName name="\z" localSheetId="12">#REF!</definedName>
    <definedName name="\z" localSheetId="13">#REF!</definedName>
    <definedName name="\z">#REF!</definedName>
    <definedName name="__________con11" localSheetId="0">#REF!</definedName>
    <definedName name="__________con11" localSheetId="1">#REF!</definedName>
    <definedName name="__________con11" localSheetId="30">#REF!</definedName>
    <definedName name="__________con11" localSheetId="14">#REF!</definedName>
    <definedName name="__________con11" localSheetId="16">#REF!</definedName>
    <definedName name="__________con11" localSheetId="7">#REF!</definedName>
    <definedName name="__________con11" localSheetId="8">#REF!</definedName>
    <definedName name="__________con11" localSheetId="9">#REF!</definedName>
    <definedName name="__________con11" localSheetId="10">#REF!</definedName>
    <definedName name="__________con11" localSheetId="19">#REF!</definedName>
    <definedName name="__________con11" localSheetId="20">#REF!</definedName>
    <definedName name="__________con11" localSheetId="6">#REF!</definedName>
    <definedName name="__________con11" localSheetId="11">#REF!</definedName>
    <definedName name="__________con11" localSheetId="12">#REF!</definedName>
    <definedName name="__________con11" localSheetId="13">#REF!</definedName>
    <definedName name="__________con11">#REF!</definedName>
    <definedName name="__________con2" localSheetId="0">#REF!</definedName>
    <definedName name="__________con2" localSheetId="1">#REF!</definedName>
    <definedName name="__________con2" localSheetId="30">#REF!</definedName>
    <definedName name="__________con2" localSheetId="14">#REF!</definedName>
    <definedName name="__________con2" localSheetId="16">#REF!</definedName>
    <definedName name="__________con2" localSheetId="7">#REF!</definedName>
    <definedName name="__________con2" localSheetId="8">#REF!</definedName>
    <definedName name="__________con2" localSheetId="9">#REF!</definedName>
    <definedName name="__________con2" localSheetId="10">#REF!</definedName>
    <definedName name="__________con2" localSheetId="19">#REF!</definedName>
    <definedName name="__________con2" localSheetId="20">#REF!</definedName>
    <definedName name="__________con2" localSheetId="6">#REF!</definedName>
    <definedName name="__________con2" localSheetId="11">#REF!</definedName>
    <definedName name="__________con2" localSheetId="12">#REF!</definedName>
    <definedName name="__________con2" localSheetId="13">#REF!</definedName>
    <definedName name="__________con2">#REF!</definedName>
    <definedName name="__________con3" localSheetId="0">#REF!</definedName>
    <definedName name="__________con3" localSheetId="1">#REF!</definedName>
    <definedName name="__________con3" localSheetId="30">#REF!</definedName>
    <definedName name="__________con3" localSheetId="14">#REF!</definedName>
    <definedName name="__________con3" localSheetId="16">#REF!</definedName>
    <definedName name="__________con3" localSheetId="7">#REF!</definedName>
    <definedName name="__________con3" localSheetId="8">#REF!</definedName>
    <definedName name="__________con3" localSheetId="9">#REF!</definedName>
    <definedName name="__________con3" localSheetId="10">#REF!</definedName>
    <definedName name="__________con3" localSheetId="19">#REF!</definedName>
    <definedName name="__________con3" localSheetId="20">#REF!</definedName>
    <definedName name="__________con3" localSheetId="6">#REF!</definedName>
    <definedName name="__________con3" localSheetId="11">#REF!</definedName>
    <definedName name="__________con3" localSheetId="12">#REF!</definedName>
    <definedName name="__________con3" localSheetId="13">#REF!</definedName>
    <definedName name="__________con3">#REF!</definedName>
    <definedName name="__________con4" localSheetId="0">#REF!</definedName>
    <definedName name="__________con4" localSheetId="1">#REF!</definedName>
    <definedName name="__________con4" localSheetId="30">#REF!</definedName>
    <definedName name="__________con4" localSheetId="14">#REF!</definedName>
    <definedName name="__________con4" localSheetId="16">#REF!</definedName>
    <definedName name="__________con4" localSheetId="7">#REF!</definedName>
    <definedName name="__________con4" localSheetId="8">#REF!</definedName>
    <definedName name="__________con4" localSheetId="9">#REF!</definedName>
    <definedName name="__________con4" localSheetId="10">#REF!</definedName>
    <definedName name="__________con4" localSheetId="19">#REF!</definedName>
    <definedName name="__________con4" localSheetId="20">#REF!</definedName>
    <definedName name="__________con4" localSheetId="6">#REF!</definedName>
    <definedName name="__________con4" localSheetId="11">#REF!</definedName>
    <definedName name="__________con4" localSheetId="12">#REF!</definedName>
    <definedName name="__________con4" localSheetId="13">#REF!</definedName>
    <definedName name="__________con4">#REF!</definedName>
    <definedName name="__________fws1" localSheetId="1">'[1]11 ข้อมูลงานCon'!$AB$30</definedName>
    <definedName name="__________fws1" localSheetId="30">'[1]11 ข้อมูลงานCon'!$AB$30</definedName>
    <definedName name="__________fws1">'[2]11 ข้อมูลงานCon'!$AB$30</definedName>
    <definedName name="__________sb1" localSheetId="1">'[1]12 ข้อมูลงานไม้แบบ'!$W$29</definedName>
    <definedName name="__________sb1" localSheetId="30">'[1]12 ข้อมูลงานไม้แบบ'!$W$29</definedName>
    <definedName name="__________sb1">'[2]12 ข้อมูลงานไม้แบบ'!$W$29</definedName>
    <definedName name="__________sd30" localSheetId="0">#REF!</definedName>
    <definedName name="__________sd30" localSheetId="1">#REF!</definedName>
    <definedName name="__________sd30" localSheetId="30">#REF!</definedName>
    <definedName name="__________sd30" localSheetId="14">#REF!</definedName>
    <definedName name="__________sd30" localSheetId="16">#REF!</definedName>
    <definedName name="__________sd30" localSheetId="7">#REF!</definedName>
    <definedName name="__________sd30" localSheetId="8">#REF!</definedName>
    <definedName name="__________sd30" localSheetId="9">#REF!</definedName>
    <definedName name="__________sd30" localSheetId="10">#REF!</definedName>
    <definedName name="__________sd30" localSheetId="19">#REF!</definedName>
    <definedName name="__________sd30" localSheetId="20">#REF!</definedName>
    <definedName name="__________sd30" localSheetId="6">#REF!</definedName>
    <definedName name="__________sd30" localSheetId="11">#REF!</definedName>
    <definedName name="__________sd30" localSheetId="12">#REF!</definedName>
    <definedName name="__________sd30" localSheetId="13">#REF!</definedName>
    <definedName name="__________sd30">#REF!</definedName>
    <definedName name="__________sd40" localSheetId="0">#REF!</definedName>
    <definedName name="__________sd40" localSheetId="1">#REF!</definedName>
    <definedName name="__________sd40" localSheetId="30">#REF!</definedName>
    <definedName name="__________sd40" localSheetId="14">#REF!</definedName>
    <definedName name="__________sd40" localSheetId="16">#REF!</definedName>
    <definedName name="__________sd40" localSheetId="7">#REF!</definedName>
    <definedName name="__________sd40" localSheetId="8">#REF!</definedName>
    <definedName name="__________sd40" localSheetId="9">#REF!</definedName>
    <definedName name="__________sd40" localSheetId="10">#REF!</definedName>
    <definedName name="__________sd40" localSheetId="19">#REF!</definedName>
    <definedName name="__________sd40" localSheetId="20">#REF!</definedName>
    <definedName name="__________sd40" localSheetId="6">#REF!</definedName>
    <definedName name="__________sd40" localSheetId="11">#REF!</definedName>
    <definedName name="__________sd40" localSheetId="12">#REF!</definedName>
    <definedName name="__________sd40" localSheetId="13">#REF!</definedName>
    <definedName name="__________sd40">#REF!</definedName>
    <definedName name="__________st1" localSheetId="0">#REF!</definedName>
    <definedName name="__________st1" localSheetId="1">#REF!</definedName>
    <definedName name="__________st1" localSheetId="30">#REF!</definedName>
    <definedName name="__________st1" localSheetId="14">#REF!</definedName>
    <definedName name="__________st1" localSheetId="16">#REF!</definedName>
    <definedName name="__________st1" localSheetId="7">#REF!</definedName>
    <definedName name="__________st1" localSheetId="8">#REF!</definedName>
    <definedName name="__________st1" localSheetId="9">#REF!</definedName>
    <definedName name="__________st1" localSheetId="10">#REF!</definedName>
    <definedName name="__________st1" localSheetId="19">#REF!</definedName>
    <definedName name="__________st1" localSheetId="20">#REF!</definedName>
    <definedName name="__________st1" localSheetId="6">#REF!</definedName>
    <definedName name="__________st1" localSheetId="11">#REF!</definedName>
    <definedName name="__________st1" localSheetId="12">#REF!</definedName>
    <definedName name="__________st1" localSheetId="13">#REF!</definedName>
    <definedName name="__________st1">#REF!</definedName>
    <definedName name="__________st2" localSheetId="0">#REF!</definedName>
    <definedName name="__________st2" localSheetId="1">#REF!</definedName>
    <definedName name="__________st2" localSheetId="30">#REF!</definedName>
    <definedName name="__________st2" localSheetId="14">#REF!</definedName>
    <definedName name="__________st2" localSheetId="16">#REF!</definedName>
    <definedName name="__________st2" localSheetId="7">#REF!</definedName>
    <definedName name="__________st2" localSheetId="8">#REF!</definedName>
    <definedName name="__________st2" localSheetId="9">#REF!</definedName>
    <definedName name="__________st2" localSheetId="10">#REF!</definedName>
    <definedName name="__________st2" localSheetId="19">#REF!</definedName>
    <definedName name="__________st2" localSheetId="20">#REF!</definedName>
    <definedName name="__________st2" localSheetId="6">#REF!</definedName>
    <definedName name="__________st2" localSheetId="11">#REF!</definedName>
    <definedName name="__________st2" localSheetId="12">#REF!</definedName>
    <definedName name="__________st2" localSheetId="13">#REF!</definedName>
    <definedName name="__________st2">#REF!</definedName>
    <definedName name="__________st3" localSheetId="0">#REF!</definedName>
    <definedName name="__________st3" localSheetId="1">#REF!</definedName>
    <definedName name="__________st3" localSheetId="30">#REF!</definedName>
    <definedName name="__________st3" localSheetId="14">#REF!</definedName>
    <definedName name="__________st3" localSheetId="16">#REF!</definedName>
    <definedName name="__________st3" localSheetId="7">#REF!</definedName>
    <definedName name="__________st3" localSheetId="8">#REF!</definedName>
    <definedName name="__________st3" localSheetId="9">#REF!</definedName>
    <definedName name="__________st3" localSheetId="10">#REF!</definedName>
    <definedName name="__________st3" localSheetId="19">#REF!</definedName>
    <definedName name="__________st3" localSheetId="20">#REF!</definedName>
    <definedName name="__________st3" localSheetId="6">#REF!</definedName>
    <definedName name="__________st3" localSheetId="11">#REF!</definedName>
    <definedName name="__________st3" localSheetId="12">#REF!</definedName>
    <definedName name="__________st3" localSheetId="13">#REF!</definedName>
    <definedName name="__________st3">#REF!</definedName>
    <definedName name="_________con1" localSheetId="0">#REF!</definedName>
    <definedName name="_________con1" localSheetId="1">#REF!</definedName>
    <definedName name="_________con1" localSheetId="30">#REF!</definedName>
    <definedName name="_________con1" localSheetId="14">#REF!</definedName>
    <definedName name="_________con1" localSheetId="16">#REF!</definedName>
    <definedName name="_________con1" localSheetId="7">#REF!</definedName>
    <definedName name="_________con1" localSheetId="8">#REF!</definedName>
    <definedName name="_________con1" localSheetId="9">#REF!</definedName>
    <definedName name="_________con1" localSheetId="10">#REF!</definedName>
    <definedName name="_________con1" localSheetId="19">#REF!</definedName>
    <definedName name="_________con1" localSheetId="20">#REF!</definedName>
    <definedName name="_________con1" localSheetId="6">#REF!</definedName>
    <definedName name="_________con1" localSheetId="11">#REF!</definedName>
    <definedName name="_________con1" localSheetId="12">#REF!</definedName>
    <definedName name="_________con1" localSheetId="13">#REF!</definedName>
    <definedName name="_________con1">#REF!</definedName>
    <definedName name="_________con11" localSheetId="0">#REF!</definedName>
    <definedName name="_________con11" localSheetId="1">#REF!</definedName>
    <definedName name="_________con11" localSheetId="30">#REF!</definedName>
    <definedName name="_________con11" localSheetId="14">#REF!</definedName>
    <definedName name="_________con11" localSheetId="16">#REF!</definedName>
    <definedName name="_________con11" localSheetId="7">#REF!</definedName>
    <definedName name="_________con11" localSheetId="8">#REF!</definedName>
    <definedName name="_________con11" localSheetId="9">#REF!</definedName>
    <definedName name="_________con11" localSheetId="10">#REF!</definedName>
    <definedName name="_________con11" localSheetId="19">#REF!</definedName>
    <definedName name="_________con11" localSheetId="20">#REF!</definedName>
    <definedName name="_________con11" localSheetId="6">#REF!</definedName>
    <definedName name="_________con11" localSheetId="11">#REF!</definedName>
    <definedName name="_________con11" localSheetId="12">#REF!</definedName>
    <definedName name="_________con11" localSheetId="13">#REF!</definedName>
    <definedName name="_________con11">#REF!</definedName>
    <definedName name="_________con2" localSheetId="0">#REF!</definedName>
    <definedName name="_________con2" localSheetId="1">#REF!</definedName>
    <definedName name="_________con2" localSheetId="30">#REF!</definedName>
    <definedName name="_________con2" localSheetId="14">#REF!</definedName>
    <definedName name="_________con2" localSheetId="16">#REF!</definedName>
    <definedName name="_________con2" localSheetId="7">#REF!</definedName>
    <definedName name="_________con2" localSheetId="8">#REF!</definedName>
    <definedName name="_________con2" localSheetId="9">#REF!</definedName>
    <definedName name="_________con2" localSheetId="10">#REF!</definedName>
    <definedName name="_________con2" localSheetId="19">#REF!</definedName>
    <definedName name="_________con2" localSheetId="20">#REF!</definedName>
    <definedName name="_________con2" localSheetId="6">#REF!</definedName>
    <definedName name="_________con2" localSheetId="11">#REF!</definedName>
    <definedName name="_________con2" localSheetId="12">#REF!</definedName>
    <definedName name="_________con2" localSheetId="13">#REF!</definedName>
    <definedName name="_________con2">#REF!</definedName>
    <definedName name="_________con3" localSheetId="0">#REF!</definedName>
    <definedName name="_________con3" localSheetId="1">#REF!</definedName>
    <definedName name="_________con3" localSheetId="30">#REF!</definedName>
    <definedName name="_________con3" localSheetId="14">#REF!</definedName>
    <definedName name="_________con3" localSheetId="16">#REF!</definedName>
    <definedName name="_________con3" localSheetId="7">#REF!</definedName>
    <definedName name="_________con3" localSheetId="8">#REF!</definedName>
    <definedName name="_________con3" localSheetId="9">#REF!</definedName>
    <definedName name="_________con3" localSheetId="10">#REF!</definedName>
    <definedName name="_________con3" localSheetId="19">#REF!</definedName>
    <definedName name="_________con3" localSheetId="20">#REF!</definedName>
    <definedName name="_________con3" localSheetId="6">#REF!</definedName>
    <definedName name="_________con3" localSheetId="11">#REF!</definedName>
    <definedName name="_________con3" localSheetId="12">#REF!</definedName>
    <definedName name="_________con3" localSheetId="13">#REF!</definedName>
    <definedName name="_________con3">#REF!</definedName>
    <definedName name="_________con4" localSheetId="0">#REF!</definedName>
    <definedName name="_________con4" localSheetId="1">#REF!</definedName>
    <definedName name="_________con4" localSheetId="30">#REF!</definedName>
    <definedName name="_________con4" localSheetId="14">#REF!</definedName>
    <definedName name="_________con4" localSheetId="16">#REF!</definedName>
    <definedName name="_________con4" localSheetId="7">#REF!</definedName>
    <definedName name="_________con4" localSheetId="8">#REF!</definedName>
    <definedName name="_________con4" localSheetId="9">#REF!</definedName>
    <definedName name="_________con4" localSheetId="10">#REF!</definedName>
    <definedName name="_________con4" localSheetId="19">#REF!</definedName>
    <definedName name="_________con4" localSheetId="20">#REF!</definedName>
    <definedName name="_________con4" localSheetId="6">#REF!</definedName>
    <definedName name="_________con4" localSheetId="11">#REF!</definedName>
    <definedName name="_________con4" localSheetId="12">#REF!</definedName>
    <definedName name="_________con4" localSheetId="13">#REF!</definedName>
    <definedName name="_________con4">#REF!</definedName>
    <definedName name="_________fws1" localSheetId="1">'[1]11 ข้อมูลงานCon'!$AB$30</definedName>
    <definedName name="_________fws1" localSheetId="30">'[1]11 ข้อมูลงานCon'!$AB$30</definedName>
    <definedName name="_________fws1">'[2]11 ข้อมูลงานCon'!$AB$30</definedName>
    <definedName name="_________sb1" localSheetId="1">'[1]12 ข้อมูลงานไม้แบบ'!$W$29</definedName>
    <definedName name="_________sb1" localSheetId="30">'[1]12 ข้อมูลงานไม้แบบ'!$W$29</definedName>
    <definedName name="_________sb1">'[2]12 ข้อมูลงานไม้แบบ'!$W$29</definedName>
    <definedName name="_________sd30" localSheetId="0">#REF!</definedName>
    <definedName name="_________sd30" localSheetId="1">#REF!</definedName>
    <definedName name="_________sd30" localSheetId="30">#REF!</definedName>
    <definedName name="_________sd30" localSheetId="14">#REF!</definedName>
    <definedName name="_________sd30" localSheetId="16">#REF!</definedName>
    <definedName name="_________sd30" localSheetId="7">#REF!</definedName>
    <definedName name="_________sd30" localSheetId="8">#REF!</definedName>
    <definedName name="_________sd30" localSheetId="9">#REF!</definedName>
    <definedName name="_________sd30" localSheetId="10">#REF!</definedName>
    <definedName name="_________sd30" localSheetId="19">#REF!</definedName>
    <definedName name="_________sd30" localSheetId="20">#REF!</definedName>
    <definedName name="_________sd30" localSheetId="6">#REF!</definedName>
    <definedName name="_________sd30" localSheetId="11">#REF!</definedName>
    <definedName name="_________sd30" localSheetId="12">#REF!</definedName>
    <definedName name="_________sd30" localSheetId="13">#REF!</definedName>
    <definedName name="_________sd30">#REF!</definedName>
    <definedName name="_________sd40" localSheetId="0">#REF!</definedName>
    <definedName name="_________sd40" localSheetId="1">#REF!</definedName>
    <definedName name="_________sd40" localSheetId="30">#REF!</definedName>
    <definedName name="_________sd40" localSheetId="14">#REF!</definedName>
    <definedName name="_________sd40" localSheetId="16">#REF!</definedName>
    <definedName name="_________sd40" localSheetId="7">#REF!</definedName>
    <definedName name="_________sd40" localSheetId="8">#REF!</definedName>
    <definedName name="_________sd40" localSheetId="9">#REF!</definedName>
    <definedName name="_________sd40" localSheetId="10">#REF!</definedName>
    <definedName name="_________sd40" localSheetId="19">#REF!</definedName>
    <definedName name="_________sd40" localSheetId="20">#REF!</definedName>
    <definedName name="_________sd40" localSheetId="6">#REF!</definedName>
    <definedName name="_________sd40" localSheetId="11">#REF!</definedName>
    <definedName name="_________sd40" localSheetId="12">#REF!</definedName>
    <definedName name="_________sd40" localSheetId="13">#REF!</definedName>
    <definedName name="_________sd40">#REF!</definedName>
    <definedName name="_________st1" localSheetId="0">#REF!</definedName>
    <definedName name="_________st1" localSheetId="1">#REF!</definedName>
    <definedName name="_________st1" localSheetId="30">#REF!</definedName>
    <definedName name="_________st1" localSheetId="14">#REF!</definedName>
    <definedName name="_________st1" localSheetId="16">#REF!</definedName>
    <definedName name="_________st1" localSheetId="7">#REF!</definedName>
    <definedName name="_________st1" localSheetId="8">#REF!</definedName>
    <definedName name="_________st1" localSheetId="9">#REF!</definedName>
    <definedName name="_________st1" localSheetId="10">#REF!</definedName>
    <definedName name="_________st1" localSheetId="19">#REF!</definedName>
    <definedName name="_________st1" localSheetId="20">#REF!</definedName>
    <definedName name="_________st1" localSheetId="6">#REF!</definedName>
    <definedName name="_________st1" localSheetId="11">#REF!</definedName>
    <definedName name="_________st1" localSheetId="12">#REF!</definedName>
    <definedName name="_________st1" localSheetId="13">#REF!</definedName>
    <definedName name="_________st1">#REF!</definedName>
    <definedName name="_________st2" localSheetId="0">#REF!</definedName>
    <definedName name="_________st2" localSheetId="1">#REF!</definedName>
    <definedName name="_________st2" localSheetId="30">#REF!</definedName>
    <definedName name="_________st2" localSheetId="14">#REF!</definedName>
    <definedName name="_________st2" localSheetId="16">#REF!</definedName>
    <definedName name="_________st2" localSheetId="7">#REF!</definedName>
    <definedName name="_________st2" localSheetId="8">#REF!</definedName>
    <definedName name="_________st2" localSheetId="9">#REF!</definedName>
    <definedName name="_________st2" localSheetId="10">#REF!</definedName>
    <definedName name="_________st2" localSheetId="19">#REF!</definedName>
    <definedName name="_________st2" localSheetId="20">#REF!</definedName>
    <definedName name="_________st2" localSheetId="6">#REF!</definedName>
    <definedName name="_________st2" localSheetId="11">#REF!</definedName>
    <definedName name="_________st2" localSheetId="12">#REF!</definedName>
    <definedName name="_________st2" localSheetId="13">#REF!</definedName>
    <definedName name="_________st2">#REF!</definedName>
    <definedName name="_________st3" localSheetId="0">#REF!</definedName>
    <definedName name="_________st3" localSheetId="1">#REF!</definedName>
    <definedName name="_________st3" localSheetId="30">#REF!</definedName>
    <definedName name="_________st3" localSheetId="14">#REF!</definedName>
    <definedName name="_________st3" localSheetId="16">#REF!</definedName>
    <definedName name="_________st3" localSheetId="7">#REF!</definedName>
    <definedName name="_________st3" localSheetId="8">#REF!</definedName>
    <definedName name="_________st3" localSheetId="9">#REF!</definedName>
    <definedName name="_________st3" localSheetId="10">#REF!</definedName>
    <definedName name="_________st3" localSheetId="19">#REF!</definedName>
    <definedName name="_________st3" localSheetId="20">#REF!</definedName>
    <definedName name="_________st3" localSheetId="6">#REF!</definedName>
    <definedName name="_________st3" localSheetId="11">#REF!</definedName>
    <definedName name="_________st3" localSheetId="12">#REF!</definedName>
    <definedName name="_________st3" localSheetId="13">#REF!</definedName>
    <definedName name="_________st3">#REF!</definedName>
    <definedName name="________con1" localSheetId="0">#REF!</definedName>
    <definedName name="________con1" localSheetId="1">#REF!</definedName>
    <definedName name="________con1" localSheetId="30">#REF!</definedName>
    <definedName name="________con1" localSheetId="14">#REF!</definedName>
    <definedName name="________con1" localSheetId="16">#REF!</definedName>
    <definedName name="________con1" localSheetId="7">#REF!</definedName>
    <definedName name="________con1" localSheetId="8">#REF!</definedName>
    <definedName name="________con1" localSheetId="9">#REF!</definedName>
    <definedName name="________con1" localSheetId="10">#REF!</definedName>
    <definedName name="________con1" localSheetId="19">#REF!</definedName>
    <definedName name="________con1" localSheetId="20">#REF!</definedName>
    <definedName name="________con1" localSheetId="6">#REF!</definedName>
    <definedName name="________con1" localSheetId="11">#REF!</definedName>
    <definedName name="________con1" localSheetId="12">#REF!</definedName>
    <definedName name="________con1" localSheetId="13">#REF!</definedName>
    <definedName name="________con1">#REF!</definedName>
    <definedName name="________con11" localSheetId="0">#REF!</definedName>
    <definedName name="________con11" localSheetId="1">#REF!</definedName>
    <definedName name="________con11" localSheetId="30">#REF!</definedName>
    <definedName name="________con11" localSheetId="14">#REF!</definedName>
    <definedName name="________con11" localSheetId="16">#REF!</definedName>
    <definedName name="________con11" localSheetId="7">#REF!</definedName>
    <definedName name="________con11" localSheetId="8">#REF!</definedName>
    <definedName name="________con11" localSheetId="9">#REF!</definedName>
    <definedName name="________con11" localSheetId="10">#REF!</definedName>
    <definedName name="________con11" localSheetId="19">#REF!</definedName>
    <definedName name="________con11" localSheetId="20">#REF!</definedName>
    <definedName name="________con11" localSheetId="6">#REF!</definedName>
    <definedName name="________con11" localSheetId="11">#REF!</definedName>
    <definedName name="________con11" localSheetId="12">#REF!</definedName>
    <definedName name="________con11" localSheetId="13">#REF!</definedName>
    <definedName name="________con11">#REF!</definedName>
    <definedName name="________con2" localSheetId="0">#REF!</definedName>
    <definedName name="________con2" localSheetId="1">#REF!</definedName>
    <definedName name="________con2" localSheetId="30">#REF!</definedName>
    <definedName name="________con2" localSheetId="14">#REF!</definedName>
    <definedName name="________con2" localSheetId="16">#REF!</definedName>
    <definedName name="________con2" localSheetId="7">#REF!</definedName>
    <definedName name="________con2" localSheetId="8">#REF!</definedName>
    <definedName name="________con2" localSheetId="9">#REF!</definedName>
    <definedName name="________con2" localSheetId="10">#REF!</definedName>
    <definedName name="________con2" localSheetId="19">#REF!</definedName>
    <definedName name="________con2" localSheetId="20">#REF!</definedName>
    <definedName name="________con2" localSheetId="6">#REF!</definedName>
    <definedName name="________con2" localSheetId="11">#REF!</definedName>
    <definedName name="________con2" localSheetId="12">#REF!</definedName>
    <definedName name="________con2" localSheetId="13">#REF!</definedName>
    <definedName name="________con2">#REF!</definedName>
    <definedName name="________con3" localSheetId="0">#REF!</definedName>
    <definedName name="________con3" localSheetId="1">#REF!</definedName>
    <definedName name="________con3" localSheetId="30">#REF!</definedName>
    <definedName name="________con3" localSheetId="14">#REF!</definedName>
    <definedName name="________con3" localSheetId="16">#REF!</definedName>
    <definedName name="________con3" localSheetId="7">#REF!</definedName>
    <definedName name="________con3" localSheetId="8">#REF!</definedName>
    <definedName name="________con3" localSheetId="9">#REF!</definedName>
    <definedName name="________con3" localSheetId="10">#REF!</definedName>
    <definedName name="________con3" localSheetId="19">#REF!</definedName>
    <definedName name="________con3" localSheetId="20">#REF!</definedName>
    <definedName name="________con3" localSheetId="6">#REF!</definedName>
    <definedName name="________con3" localSheetId="11">#REF!</definedName>
    <definedName name="________con3" localSheetId="12">#REF!</definedName>
    <definedName name="________con3" localSheetId="13">#REF!</definedName>
    <definedName name="________con3">#REF!</definedName>
    <definedName name="________con4" localSheetId="0">#REF!</definedName>
    <definedName name="________con4" localSheetId="1">#REF!</definedName>
    <definedName name="________con4" localSheetId="30">#REF!</definedName>
    <definedName name="________con4" localSheetId="14">#REF!</definedName>
    <definedName name="________con4" localSheetId="16">#REF!</definedName>
    <definedName name="________con4" localSheetId="7">#REF!</definedName>
    <definedName name="________con4" localSheetId="8">#REF!</definedName>
    <definedName name="________con4" localSheetId="9">#REF!</definedName>
    <definedName name="________con4" localSheetId="10">#REF!</definedName>
    <definedName name="________con4" localSheetId="19">#REF!</definedName>
    <definedName name="________con4" localSheetId="20">#REF!</definedName>
    <definedName name="________con4" localSheetId="6">#REF!</definedName>
    <definedName name="________con4" localSheetId="11">#REF!</definedName>
    <definedName name="________con4" localSheetId="12">#REF!</definedName>
    <definedName name="________con4" localSheetId="13">#REF!</definedName>
    <definedName name="________con4">#REF!</definedName>
    <definedName name="________fws1" localSheetId="1">'[1]11 ข้อมูลงานCon'!$AB$30</definedName>
    <definedName name="________fws1" localSheetId="30">'[1]11 ข้อมูลงานCon'!$AB$30</definedName>
    <definedName name="________fws1">'[2]11 ข้อมูลงานCon'!$AB$30</definedName>
    <definedName name="________sb1" localSheetId="1">'[1]12 ข้อมูลงานไม้แบบ'!$W$29</definedName>
    <definedName name="________sb1" localSheetId="30">'[1]12 ข้อมูลงานไม้แบบ'!$W$29</definedName>
    <definedName name="________sb1">'[2]12 ข้อมูลงานไม้แบบ'!$W$29</definedName>
    <definedName name="________sd30" localSheetId="0">#REF!</definedName>
    <definedName name="________sd30" localSheetId="1">#REF!</definedName>
    <definedName name="________sd30" localSheetId="30">#REF!</definedName>
    <definedName name="________sd30" localSheetId="14">#REF!</definedName>
    <definedName name="________sd30" localSheetId="16">#REF!</definedName>
    <definedName name="________sd30" localSheetId="7">#REF!</definedName>
    <definedName name="________sd30" localSheetId="8">#REF!</definedName>
    <definedName name="________sd30" localSheetId="9">#REF!</definedName>
    <definedName name="________sd30" localSheetId="10">#REF!</definedName>
    <definedName name="________sd30" localSheetId="19">#REF!</definedName>
    <definedName name="________sd30" localSheetId="20">#REF!</definedName>
    <definedName name="________sd30" localSheetId="6">#REF!</definedName>
    <definedName name="________sd30" localSheetId="11">#REF!</definedName>
    <definedName name="________sd30" localSheetId="12">#REF!</definedName>
    <definedName name="________sd30" localSheetId="13">#REF!</definedName>
    <definedName name="________sd30">#REF!</definedName>
    <definedName name="________sd40" localSheetId="0">#REF!</definedName>
    <definedName name="________sd40" localSheetId="1">#REF!</definedName>
    <definedName name="________sd40" localSheetId="30">#REF!</definedName>
    <definedName name="________sd40" localSheetId="14">#REF!</definedName>
    <definedName name="________sd40" localSheetId="16">#REF!</definedName>
    <definedName name="________sd40" localSheetId="7">#REF!</definedName>
    <definedName name="________sd40" localSheetId="8">#REF!</definedName>
    <definedName name="________sd40" localSheetId="9">#REF!</definedName>
    <definedName name="________sd40" localSheetId="10">#REF!</definedName>
    <definedName name="________sd40" localSheetId="19">#REF!</definedName>
    <definedName name="________sd40" localSheetId="20">#REF!</definedName>
    <definedName name="________sd40" localSheetId="6">#REF!</definedName>
    <definedName name="________sd40" localSheetId="11">#REF!</definedName>
    <definedName name="________sd40" localSheetId="12">#REF!</definedName>
    <definedName name="________sd40" localSheetId="13">#REF!</definedName>
    <definedName name="________sd40">#REF!</definedName>
    <definedName name="________st1" localSheetId="0">#REF!</definedName>
    <definedName name="________st1" localSheetId="1">#REF!</definedName>
    <definedName name="________st1" localSheetId="30">#REF!</definedName>
    <definedName name="________st1" localSheetId="14">#REF!</definedName>
    <definedName name="________st1" localSheetId="16">#REF!</definedName>
    <definedName name="________st1" localSheetId="7">#REF!</definedName>
    <definedName name="________st1" localSheetId="8">#REF!</definedName>
    <definedName name="________st1" localSheetId="9">#REF!</definedName>
    <definedName name="________st1" localSheetId="10">#REF!</definedName>
    <definedName name="________st1" localSheetId="19">#REF!</definedName>
    <definedName name="________st1" localSheetId="20">#REF!</definedName>
    <definedName name="________st1" localSheetId="6">#REF!</definedName>
    <definedName name="________st1" localSheetId="11">#REF!</definedName>
    <definedName name="________st1" localSheetId="12">#REF!</definedName>
    <definedName name="________st1" localSheetId="13">#REF!</definedName>
    <definedName name="________st1">#REF!</definedName>
    <definedName name="________st2" localSheetId="0">#REF!</definedName>
    <definedName name="________st2" localSheetId="1">#REF!</definedName>
    <definedName name="________st2" localSheetId="30">#REF!</definedName>
    <definedName name="________st2" localSheetId="14">#REF!</definedName>
    <definedName name="________st2" localSheetId="16">#REF!</definedName>
    <definedName name="________st2" localSheetId="7">#REF!</definedName>
    <definedName name="________st2" localSheetId="8">#REF!</definedName>
    <definedName name="________st2" localSheetId="9">#REF!</definedName>
    <definedName name="________st2" localSheetId="10">#REF!</definedName>
    <definedName name="________st2" localSheetId="19">#REF!</definedName>
    <definedName name="________st2" localSheetId="20">#REF!</definedName>
    <definedName name="________st2" localSheetId="6">#REF!</definedName>
    <definedName name="________st2" localSheetId="11">#REF!</definedName>
    <definedName name="________st2" localSheetId="12">#REF!</definedName>
    <definedName name="________st2" localSheetId="13">#REF!</definedName>
    <definedName name="________st2">#REF!</definedName>
    <definedName name="________st3" localSheetId="0">#REF!</definedName>
    <definedName name="________st3" localSheetId="1">#REF!</definedName>
    <definedName name="________st3" localSheetId="30">#REF!</definedName>
    <definedName name="________st3" localSheetId="14">#REF!</definedName>
    <definedName name="________st3" localSheetId="16">#REF!</definedName>
    <definedName name="________st3" localSheetId="7">#REF!</definedName>
    <definedName name="________st3" localSheetId="8">#REF!</definedName>
    <definedName name="________st3" localSheetId="9">#REF!</definedName>
    <definedName name="________st3" localSheetId="10">#REF!</definedName>
    <definedName name="________st3" localSheetId="19">#REF!</definedName>
    <definedName name="________st3" localSheetId="20">#REF!</definedName>
    <definedName name="________st3" localSheetId="6">#REF!</definedName>
    <definedName name="________st3" localSheetId="11">#REF!</definedName>
    <definedName name="________st3" localSheetId="12">#REF!</definedName>
    <definedName name="________st3" localSheetId="13">#REF!</definedName>
    <definedName name="________st3">#REF!</definedName>
    <definedName name="_______con1" localSheetId="0">#REF!</definedName>
    <definedName name="_______con1" localSheetId="1">#REF!</definedName>
    <definedName name="_______con1" localSheetId="30">#REF!</definedName>
    <definedName name="_______con1" localSheetId="14">#REF!</definedName>
    <definedName name="_______con1" localSheetId="16">#REF!</definedName>
    <definedName name="_______con1" localSheetId="7">#REF!</definedName>
    <definedName name="_______con1" localSheetId="8">#REF!</definedName>
    <definedName name="_______con1" localSheetId="9">#REF!</definedName>
    <definedName name="_______con1" localSheetId="10">#REF!</definedName>
    <definedName name="_______con1" localSheetId="19">#REF!</definedName>
    <definedName name="_______con1" localSheetId="20">#REF!</definedName>
    <definedName name="_______con1" localSheetId="6">#REF!</definedName>
    <definedName name="_______con1" localSheetId="11">#REF!</definedName>
    <definedName name="_______con1" localSheetId="12">#REF!</definedName>
    <definedName name="_______con1" localSheetId="13">#REF!</definedName>
    <definedName name="_______con1">#REF!</definedName>
    <definedName name="_______con11" localSheetId="0">#REF!</definedName>
    <definedName name="_______con11" localSheetId="1">#REF!</definedName>
    <definedName name="_______con11" localSheetId="30">#REF!</definedName>
    <definedName name="_______con11" localSheetId="14">#REF!</definedName>
    <definedName name="_______con11" localSheetId="16">#REF!</definedName>
    <definedName name="_______con11" localSheetId="7">#REF!</definedName>
    <definedName name="_______con11" localSheetId="8">#REF!</definedName>
    <definedName name="_______con11" localSheetId="9">#REF!</definedName>
    <definedName name="_______con11" localSheetId="10">#REF!</definedName>
    <definedName name="_______con11" localSheetId="19">#REF!</definedName>
    <definedName name="_______con11" localSheetId="20">#REF!</definedName>
    <definedName name="_______con11" localSheetId="6">#REF!</definedName>
    <definedName name="_______con11" localSheetId="11">#REF!</definedName>
    <definedName name="_______con11" localSheetId="12">#REF!</definedName>
    <definedName name="_______con11" localSheetId="13">#REF!</definedName>
    <definedName name="_______con11">#REF!</definedName>
    <definedName name="_______con2" localSheetId="0">#REF!</definedName>
    <definedName name="_______con2" localSheetId="1">#REF!</definedName>
    <definedName name="_______con2" localSheetId="30">#REF!</definedName>
    <definedName name="_______con2" localSheetId="14">#REF!</definedName>
    <definedName name="_______con2" localSheetId="16">#REF!</definedName>
    <definedName name="_______con2" localSheetId="7">#REF!</definedName>
    <definedName name="_______con2" localSheetId="8">#REF!</definedName>
    <definedName name="_______con2" localSheetId="9">#REF!</definedName>
    <definedName name="_______con2" localSheetId="10">#REF!</definedName>
    <definedName name="_______con2" localSheetId="19">#REF!</definedName>
    <definedName name="_______con2" localSheetId="20">#REF!</definedName>
    <definedName name="_______con2" localSheetId="6">#REF!</definedName>
    <definedName name="_______con2" localSheetId="11">#REF!</definedName>
    <definedName name="_______con2" localSheetId="12">#REF!</definedName>
    <definedName name="_______con2" localSheetId="13">#REF!</definedName>
    <definedName name="_______con2">#REF!</definedName>
    <definedName name="_______con3" localSheetId="0">#REF!</definedName>
    <definedName name="_______con3" localSheetId="1">#REF!</definedName>
    <definedName name="_______con3" localSheetId="30">#REF!</definedName>
    <definedName name="_______con3" localSheetId="14">#REF!</definedName>
    <definedName name="_______con3" localSheetId="16">#REF!</definedName>
    <definedName name="_______con3" localSheetId="7">#REF!</definedName>
    <definedName name="_______con3" localSheetId="8">#REF!</definedName>
    <definedName name="_______con3" localSheetId="9">#REF!</definedName>
    <definedName name="_______con3" localSheetId="10">#REF!</definedName>
    <definedName name="_______con3" localSheetId="19">#REF!</definedName>
    <definedName name="_______con3" localSheetId="20">#REF!</definedName>
    <definedName name="_______con3" localSheetId="6">#REF!</definedName>
    <definedName name="_______con3" localSheetId="11">#REF!</definedName>
    <definedName name="_______con3" localSheetId="12">#REF!</definedName>
    <definedName name="_______con3" localSheetId="13">#REF!</definedName>
    <definedName name="_______con3">#REF!</definedName>
    <definedName name="_______con4" localSheetId="0">#REF!</definedName>
    <definedName name="_______con4" localSheetId="1">#REF!</definedName>
    <definedName name="_______con4" localSheetId="30">#REF!</definedName>
    <definedName name="_______con4" localSheetId="14">#REF!</definedName>
    <definedName name="_______con4" localSheetId="16">#REF!</definedName>
    <definedName name="_______con4" localSheetId="7">#REF!</definedName>
    <definedName name="_______con4" localSheetId="8">#REF!</definedName>
    <definedName name="_______con4" localSheetId="9">#REF!</definedName>
    <definedName name="_______con4" localSheetId="10">#REF!</definedName>
    <definedName name="_______con4" localSheetId="19">#REF!</definedName>
    <definedName name="_______con4" localSheetId="20">#REF!</definedName>
    <definedName name="_______con4" localSheetId="6">#REF!</definedName>
    <definedName name="_______con4" localSheetId="11">#REF!</definedName>
    <definedName name="_______con4" localSheetId="12">#REF!</definedName>
    <definedName name="_______con4" localSheetId="13">#REF!</definedName>
    <definedName name="_______con4">#REF!</definedName>
    <definedName name="_______fws1" localSheetId="1">'[1]11 ข้อมูลงานCon'!$AB$30</definedName>
    <definedName name="_______fws1" localSheetId="30">'[1]11 ข้อมูลงานCon'!$AB$30</definedName>
    <definedName name="_______fws1">'[2]11 ข้อมูลงานCon'!$AB$30</definedName>
    <definedName name="_______sb1" localSheetId="1">'[1]12 ข้อมูลงานไม้แบบ'!$W$29</definedName>
    <definedName name="_______sb1" localSheetId="30">'[1]12 ข้อมูลงานไม้แบบ'!$W$29</definedName>
    <definedName name="_______sb1">'[2]12 ข้อมูลงานไม้แบบ'!$W$29</definedName>
    <definedName name="_______sd30" localSheetId="0">#REF!</definedName>
    <definedName name="_______sd30" localSheetId="1">#REF!</definedName>
    <definedName name="_______sd30" localSheetId="30">#REF!</definedName>
    <definedName name="_______sd30" localSheetId="14">#REF!</definedName>
    <definedName name="_______sd30" localSheetId="16">#REF!</definedName>
    <definedName name="_______sd30" localSheetId="7">#REF!</definedName>
    <definedName name="_______sd30" localSheetId="8">#REF!</definedName>
    <definedName name="_______sd30" localSheetId="9">#REF!</definedName>
    <definedName name="_______sd30" localSheetId="10">#REF!</definedName>
    <definedName name="_______sd30" localSheetId="19">#REF!</definedName>
    <definedName name="_______sd30" localSheetId="20">#REF!</definedName>
    <definedName name="_______sd30" localSheetId="6">#REF!</definedName>
    <definedName name="_______sd30" localSheetId="11">#REF!</definedName>
    <definedName name="_______sd30" localSheetId="12">#REF!</definedName>
    <definedName name="_______sd30" localSheetId="13">#REF!</definedName>
    <definedName name="_______sd30">#REF!</definedName>
    <definedName name="_______sd40" localSheetId="0">#REF!</definedName>
    <definedName name="_______sd40" localSheetId="1">#REF!</definedName>
    <definedName name="_______sd40" localSheetId="30">#REF!</definedName>
    <definedName name="_______sd40" localSheetId="14">#REF!</definedName>
    <definedName name="_______sd40" localSheetId="16">#REF!</definedName>
    <definedName name="_______sd40" localSheetId="7">#REF!</definedName>
    <definedName name="_______sd40" localSheetId="8">#REF!</definedName>
    <definedName name="_______sd40" localSheetId="9">#REF!</definedName>
    <definedName name="_______sd40" localSheetId="10">#REF!</definedName>
    <definedName name="_______sd40" localSheetId="19">#REF!</definedName>
    <definedName name="_______sd40" localSheetId="20">#REF!</definedName>
    <definedName name="_______sd40" localSheetId="6">#REF!</definedName>
    <definedName name="_______sd40" localSheetId="11">#REF!</definedName>
    <definedName name="_______sd40" localSheetId="12">#REF!</definedName>
    <definedName name="_______sd40" localSheetId="13">#REF!</definedName>
    <definedName name="_______sd40">#REF!</definedName>
    <definedName name="_______st1" localSheetId="0">#REF!</definedName>
    <definedName name="_______st1" localSheetId="1">#REF!</definedName>
    <definedName name="_______st1" localSheetId="30">#REF!</definedName>
    <definedName name="_______st1" localSheetId="14">#REF!</definedName>
    <definedName name="_______st1" localSheetId="16">#REF!</definedName>
    <definedName name="_______st1" localSheetId="7">#REF!</definedName>
    <definedName name="_______st1" localSheetId="8">#REF!</definedName>
    <definedName name="_______st1" localSheetId="9">#REF!</definedName>
    <definedName name="_______st1" localSheetId="10">#REF!</definedName>
    <definedName name="_______st1" localSheetId="19">#REF!</definedName>
    <definedName name="_______st1" localSheetId="20">#REF!</definedName>
    <definedName name="_______st1" localSheetId="6">#REF!</definedName>
    <definedName name="_______st1" localSheetId="11">#REF!</definedName>
    <definedName name="_______st1" localSheetId="12">#REF!</definedName>
    <definedName name="_______st1" localSheetId="13">#REF!</definedName>
    <definedName name="_______st1">#REF!</definedName>
    <definedName name="_______st2" localSheetId="0">#REF!</definedName>
    <definedName name="_______st2" localSheetId="1">#REF!</definedName>
    <definedName name="_______st2" localSheetId="30">#REF!</definedName>
    <definedName name="_______st2" localSheetId="14">#REF!</definedName>
    <definedName name="_______st2" localSheetId="16">#REF!</definedName>
    <definedName name="_______st2" localSheetId="7">#REF!</definedName>
    <definedName name="_______st2" localSheetId="8">#REF!</definedName>
    <definedName name="_______st2" localSheetId="9">#REF!</definedName>
    <definedName name="_______st2" localSheetId="10">#REF!</definedName>
    <definedName name="_______st2" localSheetId="19">#REF!</definedName>
    <definedName name="_______st2" localSheetId="20">#REF!</definedName>
    <definedName name="_______st2" localSheetId="6">#REF!</definedName>
    <definedName name="_______st2" localSheetId="11">#REF!</definedName>
    <definedName name="_______st2" localSheetId="12">#REF!</definedName>
    <definedName name="_______st2" localSheetId="13">#REF!</definedName>
    <definedName name="_______st2">#REF!</definedName>
    <definedName name="_______st3" localSheetId="0">#REF!</definedName>
    <definedName name="_______st3" localSheetId="1">#REF!</definedName>
    <definedName name="_______st3" localSheetId="30">#REF!</definedName>
    <definedName name="_______st3" localSheetId="14">#REF!</definedName>
    <definedName name="_______st3" localSheetId="16">#REF!</definedName>
    <definedName name="_______st3" localSheetId="7">#REF!</definedName>
    <definedName name="_______st3" localSheetId="8">#REF!</definedName>
    <definedName name="_______st3" localSheetId="9">#REF!</definedName>
    <definedName name="_______st3" localSheetId="10">#REF!</definedName>
    <definedName name="_______st3" localSheetId="19">#REF!</definedName>
    <definedName name="_______st3" localSheetId="20">#REF!</definedName>
    <definedName name="_______st3" localSheetId="6">#REF!</definedName>
    <definedName name="_______st3" localSheetId="11">#REF!</definedName>
    <definedName name="_______st3" localSheetId="12">#REF!</definedName>
    <definedName name="_______st3" localSheetId="13">#REF!</definedName>
    <definedName name="_______st3">#REF!</definedName>
    <definedName name="______con1" localSheetId="0">#REF!</definedName>
    <definedName name="______con1" localSheetId="1">#REF!</definedName>
    <definedName name="______con1" localSheetId="30">#REF!</definedName>
    <definedName name="______con1" localSheetId="14">#REF!</definedName>
    <definedName name="______con1" localSheetId="16">#REF!</definedName>
    <definedName name="______con1" localSheetId="7">#REF!</definedName>
    <definedName name="______con1" localSheetId="8">#REF!</definedName>
    <definedName name="______con1" localSheetId="9">#REF!</definedName>
    <definedName name="______con1" localSheetId="10">#REF!</definedName>
    <definedName name="______con1" localSheetId="19">#REF!</definedName>
    <definedName name="______con1" localSheetId="20">#REF!</definedName>
    <definedName name="______con1" localSheetId="6">#REF!</definedName>
    <definedName name="______con1" localSheetId="11">#REF!</definedName>
    <definedName name="______con1" localSheetId="12">#REF!</definedName>
    <definedName name="______con1" localSheetId="13">#REF!</definedName>
    <definedName name="______con1">#REF!</definedName>
    <definedName name="______con11" localSheetId="0">#REF!</definedName>
    <definedName name="______con11" localSheetId="1">#REF!</definedName>
    <definedName name="______con11" localSheetId="30">#REF!</definedName>
    <definedName name="______con11" localSheetId="14">#REF!</definedName>
    <definedName name="______con11" localSheetId="16">#REF!</definedName>
    <definedName name="______con11" localSheetId="7">#REF!</definedName>
    <definedName name="______con11" localSheetId="8">#REF!</definedName>
    <definedName name="______con11" localSheetId="9">#REF!</definedName>
    <definedName name="______con11" localSheetId="10">#REF!</definedName>
    <definedName name="______con11" localSheetId="19">#REF!</definedName>
    <definedName name="______con11" localSheetId="20">#REF!</definedName>
    <definedName name="______con11" localSheetId="6">#REF!</definedName>
    <definedName name="______con11" localSheetId="11">#REF!</definedName>
    <definedName name="______con11" localSheetId="12">#REF!</definedName>
    <definedName name="______con11" localSheetId="13">#REF!</definedName>
    <definedName name="______con11">#REF!</definedName>
    <definedName name="______con2" localSheetId="0">#REF!</definedName>
    <definedName name="______con2" localSheetId="1">#REF!</definedName>
    <definedName name="______con2" localSheetId="30">#REF!</definedName>
    <definedName name="______con2" localSheetId="14">#REF!</definedName>
    <definedName name="______con2" localSheetId="16">#REF!</definedName>
    <definedName name="______con2" localSheetId="7">#REF!</definedName>
    <definedName name="______con2" localSheetId="8">#REF!</definedName>
    <definedName name="______con2" localSheetId="9">#REF!</definedName>
    <definedName name="______con2" localSheetId="10">#REF!</definedName>
    <definedName name="______con2" localSheetId="19">#REF!</definedName>
    <definedName name="______con2" localSheetId="20">#REF!</definedName>
    <definedName name="______con2" localSheetId="6">#REF!</definedName>
    <definedName name="______con2" localSheetId="11">#REF!</definedName>
    <definedName name="______con2" localSheetId="12">#REF!</definedName>
    <definedName name="______con2" localSheetId="13">#REF!</definedName>
    <definedName name="______con2">#REF!</definedName>
    <definedName name="______con3" localSheetId="0">#REF!</definedName>
    <definedName name="______con3" localSheetId="1">#REF!</definedName>
    <definedName name="______con3" localSheetId="30">#REF!</definedName>
    <definedName name="______con3" localSheetId="14">#REF!</definedName>
    <definedName name="______con3" localSheetId="16">#REF!</definedName>
    <definedName name="______con3" localSheetId="7">#REF!</definedName>
    <definedName name="______con3" localSheetId="8">#REF!</definedName>
    <definedName name="______con3" localSheetId="9">#REF!</definedName>
    <definedName name="______con3" localSheetId="10">#REF!</definedName>
    <definedName name="______con3" localSheetId="19">#REF!</definedName>
    <definedName name="______con3" localSheetId="20">#REF!</definedName>
    <definedName name="______con3" localSheetId="6">#REF!</definedName>
    <definedName name="______con3" localSheetId="11">#REF!</definedName>
    <definedName name="______con3" localSheetId="12">#REF!</definedName>
    <definedName name="______con3" localSheetId="13">#REF!</definedName>
    <definedName name="______con3">#REF!</definedName>
    <definedName name="______con4" localSheetId="0">#REF!</definedName>
    <definedName name="______con4" localSheetId="1">#REF!</definedName>
    <definedName name="______con4" localSheetId="30">#REF!</definedName>
    <definedName name="______con4" localSheetId="14">#REF!</definedName>
    <definedName name="______con4" localSheetId="16">#REF!</definedName>
    <definedName name="______con4" localSheetId="7">#REF!</definedName>
    <definedName name="______con4" localSheetId="8">#REF!</definedName>
    <definedName name="______con4" localSheetId="9">#REF!</definedName>
    <definedName name="______con4" localSheetId="10">#REF!</definedName>
    <definedName name="______con4" localSheetId="19">#REF!</definedName>
    <definedName name="______con4" localSheetId="20">#REF!</definedName>
    <definedName name="______con4" localSheetId="6">#REF!</definedName>
    <definedName name="______con4" localSheetId="11">#REF!</definedName>
    <definedName name="______con4" localSheetId="12">#REF!</definedName>
    <definedName name="______con4" localSheetId="13">#REF!</definedName>
    <definedName name="______con4">#REF!</definedName>
    <definedName name="______fws1" localSheetId="1">'[1]11 ข้อมูลงานCon'!$AB$30</definedName>
    <definedName name="______fws1" localSheetId="30">'[1]11 ข้อมูลงานCon'!$AB$30</definedName>
    <definedName name="______fws1">'[2]11 ข้อมูลงานCon'!$AB$30</definedName>
    <definedName name="______sb1" localSheetId="1">'[1]12 ข้อมูลงานไม้แบบ'!$W$29</definedName>
    <definedName name="______sb1" localSheetId="30">'[1]12 ข้อมูลงานไม้แบบ'!$W$29</definedName>
    <definedName name="______sb1">'[2]12 ข้อมูลงานไม้แบบ'!$W$29</definedName>
    <definedName name="______sd30" localSheetId="0">#REF!</definedName>
    <definedName name="______sd30" localSheetId="1">#REF!</definedName>
    <definedName name="______sd30" localSheetId="30">#REF!</definedName>
    <definedName name="______sd30" localSheetId="14">#REF!</definedName>
    <definedName name="______sd30" localSheetId="16">#REF!</definedName>
    <definedName name="______sd30" localSheetId="7">#REF!</definedName>
    <definedName name="______sd30" localSheetId="8">#REF!</definedName>
    <definedName name="______sd30" localSheetId="9">#REF!</definedName>
    <definedName name="______sd30" localSheetId="10">#REF!</definedName>
    <definedName name="______sd30" localSheetId="19">#REF!</definedName>
    <definedName name="______sd30" localSheetId="20">#REF!</definedName>
    <definedName name="______sd30" localSheetId="6">#REF!</definedName>
    <definedName name="______sd30" localSheetId="11">#REF!</definedName>
    <definedName name="______sd30" localSheetId="12">#REF!</definedName>
    <definedName name="______sd30" localSheetId="13">#REF!</definedName>
    <definedName name="______sd30">#REF!</definedName>
    <definedName name="______sd40" localSheetId="0">#REF!</definedName>
    <definedName name="______sd40" localSheetId="1">#REF!</definedName>
    <definedName name="______sd40" localSheetId="30">#REF!</definedName>
    <definedName name="______sd40" localSheetId="14">#REF!</definedName>
    <definedName name="______sd40" localSheetId="16">#REF!</definedName>
    <definedName name="______sd40" localSheetId="7">#REF!</definedName>
    <definedName name="______sd40" localSheetId="8">#REF!</definedName>
    <definedName name="______sd40" localSheetId="9">#REF!</definedName>
    <definedName name="______sd40" localSheetId="10">#REF!</definedName>
    <definedName name="______sd40" localSheetId="19">#REF!</definedName>
    <definedName name="______sd40" localSheetId="20">#REF!</definedName>
    <definedName name="______sd40" localSheetId="6">#REF!</definedName>
    <definedName name="______sd40" localSheetId="11">#REF!</definedName>
    <definedName name="______sd40" localSheetId="12">#REF!</definedName>
    <definedName name="______sd40" localSheetId="13">#REF!</definedName>
    <definedName name="______sd40">#REF!</definedName>
    <definedName name="______st1" localSheetId="0">#REF!</definedName>
    <definedName name="______st1" localSheetId="1">#REF!</definedName>
    <definedName name="______st1" localSheetId="30">#REF!</definedName>
    <definedName name="______st1" localSheetId="14">#REF!</definedName>
    <definedName name="______st1" localSheetId="16">#REF!</definedName>
    <definedName name="______st1" localSheetId="7">#REF!</definedName>
    <definedName name="______st1" localSheetId="8">#REF!</definedName>
    <definedName name="______st1" localSheetId="9">#REF!</definedName>
    <definedName name="______st1" localSheetId="10">#REF!</definedName>
    <definedName name="______st1" localSheetId="19">#REF!</definedName>
    <definedName name="______st1" localSheetId="20">#REF!</definedName>
    <definedName name="______st1" localSheetId="6">#REF!</definedName>
    <definedName name="______st1" localSheetId="11">#REF!</definedName>
    <definedName name="______st1" localSheetId="12">#REF!</definedName>
    <definedName name="______st1" localSheetId="13">#REF!</definedName>
    <definedName name="______st1">#REF!</definedName>
    <definedName name="______st2" localSheetId="0">#REF!</definedName>
    <definedName name="______st2" localSheetId="1">#REF!</definedName>
    <definedName name="______st2" localSheetId="30">#REF!</definedName>
    <definedName name="______st2" localSheetId="14">#REF!</definedName>
    <definedName name="______st2" localSheetId="16">#REF!</definedName>
    <definedName name="______st2" localSheetId="7">#REF!</definedName>
    <definedName name="______st2" localSheetId="8">#REF!</definedName>
    <definedName name="______st2" localSheetId="9">#REF!</definedName>
    <definedName name="______st2" localSheetId="10">#REF!</definedName>
    <definedName name="______st2" localSheetId="19">#REF!</definedName>
    <definedName name="______st2" localSheetId="20">#REF!</definedName>
    <definedName name="______st2" localSheetId="6">#REF!</definedName>
    <definedName name="______st2" localSheetId="11">#REF!</definedName>
    <definedName name="______st2" localSheetId="12">#REF!</definedName>
    <definedName name="______st2" localSheetId="13">#REF!</definedName>
    <definedName name="______st2">#REF!</definedName>
    <definedName name="______st3" localSheetId="0">#REF!</definedName>
    <definedName name="______st3" localSheetId="1">#REF!</definedName>
    <definedName name="______st3" localSheetId="30">#REF!</definedName>
    <definedName name="______st3" localSheetId="14">#REF!</definedName>
    <definedName name="______st3" localSheetId="16">#REF!</definedName>
    <definedName name="______st3" localSheetId="7">#REF!</definedName>
    <definedName name="______st3" localSheetId="8">#REF!</definedName>
    <definedName name="______st3" localSheetId="9">#REF!</definedName>
    <definedName name="______st3" localSheetId="10">#REF!</definedName>
    <definedName name="______st3" localSheetId="19">#REF!</definedName>
    <definedName name="______st3" localSheetId="20">#REF!</definedName>
    <definedName name="______st3" localSheetId="6">#REF!</definedName>
    <definedName name="______st3" localSheetId="11">#REF!</definedName>
    <definedName name="______st3" localSheetId="12">#REF!</definedName>
    <definedName name="______st3" localSheetId="13">#REF!</definedName>
    <definedName name="______st3">#REF!</definedName>
    <definedName name="_____con1" localSheetId="0">#REF!</definedName>
    <definedName name="_____con1" localSheetId="1">#REF!</definedName>
    <definedName name="_____con1" localSheetId="30">#REF!</definedName>
    <definedName name="_____con1" localSheetId="14">#REF!</definedName>
    <definedName name="_____con1" localSheetId="16">#REF!</definedName>
    <definedName name="_____con1" localSheetId="7">#REF!</definedName>
    <definedName name="_____con1" localSheetId="8">#REF!</definedName>
    <definedName name="_____con1" localSheetId="9">#REF!</definedName>
    <definedName name="_____con1" localSheetId="10">#REF!</definedName>
    <definedName name="_____con1" localSheetId="19">#REF!</definedName>
    <definedName name="_____con1" localSheetId="20">#REF!</definedName>
    <definedName name="_____con1" localSheetId="6">#REF!</definedName>
    <definedName name="_____con1" localSheetId="11">#REF!</definedName>
    <definedName name="_____con1" localSheetId="12">#REF!</definedName>
    <definedName name="_____con1" localSheetId="13">#REF!</definedName>
    <definedName name="_____con1">#REF!</definedName>
    <definedName name="_____con11" localSheetId="0">#REF!</definedName>
    <definedName name="_____con11" localSheetId="1">#REF!</definedName>
    <definedName name="_____con11" localSheetId="30">#REF!</definedName>
    <definedName name="_____con11" localSheetId="14">#REF!</definedName>
    <definedName name="_____con11" localSheetId="16">#REF!</definedName>
    <definedName name="_____con11" localSheetId="7">#REF!</definedName>
    <definedName name="_____con11" localSheetId="8">#REF!</definedName>
    <definedName name="_____con11" localSheetId="9">#REF!</definedName>
    <definedName name="_____con11" localSheetId="10">#REF!</definedName>
    <definedName name="_____con11" localSheetId="19">#REF!</definedName>
    <definedName name="_____con11" localSheetId="20">#REF!</definedName>
    <definedName name="_____con11" localSheetId="6">#REF!</definedName>
    <definedName name="_____con11" localSheetId="11">#REF!</definedName>
    <definedName name="_____con11" localSheetId="12">#REF!</definedName>
    <definedName name="_____con11" localSheetId="13">#REF!</definedName>
    <definedName name="_____con11">#REF!</definedName>
    <definedName name="_____con2" localSheetId="0">#REF!</definedName>
    <definedName name="_____con2" localSheetId="1">#REF!</definedName>
    <definedName name="_____con2" localSheetId="30">#REF!</definedName>
    <definedName name="_____con2" localSheetId="14">#REF!</definedName>
    <definedName name="_____con2" localSheetId="16">#REF!</definedName>
    <definedName name="_____con2" localSheetId="7">#REF!</definedName>
    <definedName name="_____con2" localSheetId="8">#REF!</definedName>
    <definedName name="_____con2" localSheetId="9">#REF!</definedName>
    <definedName name="_____con2" localSheetId="10">#REF!</definedName>
    <definedName name="_____con2" localSheetId="19">#REF!</definedName>
    <definedName name="_____con2" localSheetId="20">#REF!</definedName>
    <definedName name="_____con2" localSheetId="6">#REF!</definedName>
    <definedName name="_____con2" localSheetId="11">#REF!</definedName>
    <definedName name="_____con2" localSheetId="12">#REF!</definedName>
    <definedName name="_____con2" localSheetId="13">#REF!</definedName>
    <definedName name="_____con2">#REF!</definedName>
    <definedName name="_____con3" localSheetId="0">#REF!</definedName>
    <definedName name="_____con3" localSheetId="1">#REF!</definedName>
    <definedName name="_____con3" localSheetId="30">#REF!</definedName>
    <definedName name="_____con3" localSheetId="14">#REF!</definedName>
    <definedName name="_____con3" localSheetId="16">#REF!</definedName>
    <definedName name="_____con3" localSheetId="7">#REF!</definedName>
    <definedName name="_____con3" localSheetId="8">#REF!</definedName>
    <definedName name="_____con3" localSheetId="9">#REF!</definedName>
    <definedName name="_____con3" localSheetId="10">#REF!</definedName>
    <definedName name="_____con3" localSheetId="19">#REF!</definedName>
    <definedName name="_____con3" localSheetId="20">#REF!</definedName>
    <definedName name="_____con3" localSheetId="6">#REF!</definedName>
    <definedName name="_____con3" localSheetId="11">#REF!</definedName>
    <definedName name="_____con3" localSheetId="12">#REF!</definedName>
    <definedName name="_____con3" localSheetId="13">#REF!</definedName>
    <definedName name="_____con3">#REF!</definedName>
    <definedName name="_____con4" localSheetId="0">#REF!</definedName>
    <definedName name="_____con4" localSheetId="1">#REF!</definedName>
    <definedName name="_____con4" localSheetId="30">#REF!</definedName>
    <definedName name="_____con4" localSheetId="14">#REF!</definedName>
    <definedName name="_____con4" localSheetId="16">#REF!</definedName>
    <definedName name="_____con4" localSheetId="7">#REF!</definedName>
    <definedName name="_____con4" localSheetId="8">#REF!</definedName>
    <definedName name="_____con4" localSheetId="9">#REF!</definedName>
    <definedName name="_____con4" localSheetId="10">#REF!</definedName>
    <definedName name="_____con4" localSheetId="19">#REF!</definedName>
    <definedName name="_____con4" localSheetId="20">#REF!</definedName>
    <definedName name="_____con4" localSheetId="6">#REF!</definedName>
    <definedName name="_____con4" localSheetId="11">#REF!</definedName>
    <definedName name="_____con4" localSheetId="12">#REF!</definedName>
    <definedName name="_____con4" localSheetId="13">#REF!</definedName>
    <definedName name="_____con4">#REF!</definedName>
    <definedName name="_____fws1" localSheetId="1">'[1]11 ข้อมูลงานCon'!$AB$30</definedName>
    <definedName name="_____fws1" localSheetId="30">'[1]11 ข้อมูลงานCon'!$AB$30</definedName>
    <definedName name="_____fws1">'[2]11 ข้อมูลงานCon'!$AB$30</definedName>
    <definedName name="_____sb1" localSheetId="1">'[1]12 ข้อมูลงานไม้แบบ'!$W$29</definedName>
    <definedName name="_____sb1" localSheetId="30">'[1]12 ข้อมูลงานไม้แบบ'!$W$29</definedName>
    <definedName name="_____sb1">'[2]12 ข้อมูลงานไม้แบบ'!$W$29</definedName>
    <definedName name="_____sd30" localSheetId="0">#REF!</definedName>
    <definedName name="_____sd30" localSheetId="1">#REF!</definedName>
    <definedName name="_____sd30" localSheetId="30">#REF!</definedName>
    <definedName name="_____sd30" localSheetId="14">#REF!</definedName>
    <definedName name="_____sd30" localSheetId="16">#REF!</definedName>
    <definedName name="_____sd30" localSheetId="7">#REF!</definedName>
    <definedName name="_____sd30" localSheetId="8">#REF!</definedName>
    <definedName name="_____sd30" localSheetId="9">#REF!</definedName>
    <definedName name="_____sd30" localSheetId="10">#REF!</definedName>
    <definedName name="_____sd30" localSheetId="19">#REF!</definedName>
    <definedName name="_____sd30" localSheetId="20">#REF!</definedName>
    <definedName name="_____sd30" localSheetId="6">#REF!</definedName>
    <definedName name="_____sd30" localSheetId="11">#REF!</definedName>
    <definedName name="_____sd30" localSheetId="12">#REF!</definedName>
    <definedName name="_____sd30" localSheetId="13">#REF!</definedName>
    <definedName name="_____sd30">#REF!</definedName>
    <definedName name="_____sd40" localSheetId="0">#REF!</definedName>
    <definedName name="_____sd40" localSheetId="1">#REF!</definedName>
    <definedName name="_____sd40" localSheetId="30">#REF!</definedName>
    <definedName name="_____sd40" localSheetId="14">#REF!</definedName>
    <definedName name="_____sd40" localSheetId="16">#REF!</definedName>
    <definedName name="_____sd40" localSheetId="7">#REF!</definedName>
    <definedName name="_____sd40" localSheetId="8">#REF!</definedName>
    <definedName name="_____sd40" localSheetId="9">#REF!</definedName>
    <definedName name="_____sd40" localSheetId="10">#REF!</definedName>
    <definedName name="_____sd40" localSheetId="19">#REF!</definedName>
    <definedName name="_____sd40" localSheetId="20">#REF!</definedName>
    <definedName name="_____sd40" localSheetId="6">#REF!</definedName>
    <definedName name="_____sd40" localSheetId="11">#REF!</definedName>
    <definedName name="_____sd40" localSheetId="12">#REF!</definedName>
    <definedName name="_____sd40" localSheetId="13">#REF!</definedName>
    <definedName name="_____sd40">#REF!</definedName>
    <definedName name="_____st1" localSheetId="0">#REF!</definedName>
    <definedName name="_____st1" localSheetId="1">#REF!</definedName>
    <definedName name="_____st1" localSheetId="30">#REF!</definedName>
    <definedName name="_____st1" localSheetId="14">#REF!</definedName>
    <definedName name="_____st1" localSheetId="16">#REF!</definedName>
    <definedName name="_____st1" localSheetId="7">#REF!</definedName>
    <definedName name="_____st1" localSheetId="8">#REF!</definedName>
    <definedName name="_____st1" localSheetId="9">#REF!</definedName>
    <definedName name="_____st1" localSheetId="10">#REF!</definedName>
    <definedName name="_____st1" localSheetId="19">#REF!</definedName>
    <definedName name="_____st1" localSheetId="20">#REF!</definedName>
    <definedName name="_____st1" localSheetId="6">#REF!</definedName>
    <definedName name="_____st1" localSheetId="11">#REF!</definedName>
    <definedName name="_____st1" localSheetId="12">#REF!</definedName>
    <definedName name="_____st1" localSheetId="13">#REF!</definedName>
    <definedName name="_____st1">#REF!</definedName>
    <definedName name="_____st2" localSheetId="0">#REF!</definedName>
    <definedName name="_____st2" localSheetId="1">#REF!</definedName>
    <definedName name="_____st2" localSheetId="30">#REF!</definedName>
    <definedName name="_____st2" localSheetId="14">#REF!</definedName>
    <definedName name="_____st2" localSheetId="16">#REF!</definedName>
    <definedName name="_____st2" localSheetId="7">#REF!</definedName>
    <definedName name="_____st2" localSheetId="8">#REF!</definedName>
    <definedName name="_____st2" localSheetId="9">#REF!</definedName>
    <definedName name="_____st2" localSheetId="10">#REF!</definedName>
    <definedName name="_____st2" localSheetId="19">#REF!</definedName>
    <definedName name="_____st2" localSheetId="20">#REF!</definedName>
    <definedName name="_____st2" localSheetId="6">#REF!</definedName>
    <definedName name="_____st2" localSheetId="11">#REF!</definedName>
    <definedName name="_____st2" localSheetId="12">#REF!</definedName>
    <definedName name="_____st2" localSheetId="13">#REF!</definedName>
    <definedName name="_____st2">#REF!</definedName>
    <definedName name="_____st3" localSheetId="0">#REF!</definedName>
    <definedName name="_____st3" localSheetId="1">#REF!</definedName>
    <definedName name="_____st3" localSheetId="30">#REF!</definedName>
    <definedName name="_____st3" localSheetId="14">#REF!</definedName>
    <definedName name="_____st3" localSheetId="16">#REF!</definedName>
    <definedName name="_____st3" localSheetId="7">#REF!</definedName>
    <definedName name="_____st3" localSheetId="8">#REF!</definedName>
    <definedName name="_____st3" localSheetId="9">#REF!</definedName>
    <definedName name="_____st3" localSheetId="10">#REF!</definedName>
    <definedName name="_____st3" localSheetId="19">#REF!</definedName>
    <definedName name="_____st3" localSheetId="20">#REF!</definedName>
    <definedName name="_____st3" localSheetId="6">#REF!</definedName>
    <definedName name="_____st3" localSheetId="11">#REF!</definedName>
    <definedName name="_____st3" localSheetId="12">#REF!</definedName>
    <definedName name="_____st3" localSheetId="13">#REF!</definedName>
    <definedName name="_____st3">#REF!</definedName>
    <definedName name="____con1" localSheetId="0">#REF!</definedName>
    <definedName name="____con1" localSheetId="1">#REF!</definedName>
    <definedName name="____con1" localSheetId="30">#REF!</definedName>
    <definedName name="____con1" localSheetId="14">#REF!</definedName>
    <definedName name="____con1" localSheetId="16">#REF!</definedName>
    <definedName name="____con1" localSheetId="7">#REF!</definedName>
    <definedName name="____con1" localSheetId="8">#REF!</definedName>
    <definedName name="____con1" localSheetId="9">#REF!</definedName>
    <definedName name="____con1" localSheetId="10">#REF!</definedName>
    <definedName name="____con1" localSheetId="19">#REF!</definedName>
    <definedName name="____con1" localSheetId="20">#REF!</definedName>
    <definedName name="____con1" localSheetId="6">#REF!</definedName>
    <definedName name="____con1" localSheetId="11">#REF!</definedName>
    <definedName name="____con1" localSheetId="12">#REF!</definedName>
    <definedName name="____con1" localSheetId="13">#REF!</definedName>
    <definedName name="____con1">#REF!</definedName>
    <definedName name="____con11" localSheetId="0">#REF!</definedName>
    <definedName name="____con11" localSheetId="1">#REF!</definedName>
    <definedName name="____con11" localSheetId="30">#REF!</definedName>
    <definedName name="____con11" localSheetId="14">#REF!</definedName>
    <definedName name="____con11" localSheetId="16">#REF!</definedName>
    <definedName name="____con11" localSheetId="7">#REF!</definedName>
    <definedName name="____con11" localSheetId="8">#REF!</definedName>
    <definedName name="____con11" localSheetId="9">#REF!</definedName>
    <definedName name="____con11" localSheetId="10">#REF!</definedName>
    <definedName name="____con11" localSheetId="19">#REF!</definedName>
    <definedName name="____con11" localSheetId="20">#REF!</definedName>
    <definedName name="____con11" localSheetId="6">#REF!</definedName>
    <definedName name="____con11" localSheetId="11">#REF!</definedName>
    <definedName name="____con11" localSheetId="12">#REF!</definedName>
    <definedName name="____con11" localSheetId="13">#REF!</definedName>
    <definedName name="____con11">#REF!</definedName>
    <definedName name="____con2" localSheetId="0">#REF!</definedName>
    <definedName name="____con2" localSheetId="1">#REF!</definedName>
    <definedName name="____con2" localSheetId="30">#REF!</definedName>
    <definedName name="____con2" localSheetId="14">#REF!</definedName>
    <definedName name="____con2" localSheetId="16">#REF!</definedName>
    <definedName name="____con2" localSheetId="7">#REF!</definedName>
    <definedName name="____con2" localSheetId="8">#REF!</definedName>
    <definedName name="____con2" localSheetId="9">#REF!</definedName>
    <definedName name="____con2" localSheetId="10">#REF!</definedName>
    <definedName name="____con2" localSheetId="19">#REF!</definedName>
    <definedName name="____con2" localSheetId="20">#REF!</definedName>
    <definedName name="____con2" localSheetId="6">#REF!</definedName>
    <definedName name="____con2" localSheetId="11">#REF!</definedName>
    <definedName name="____con2" localSheetId="12">#REF!</definedName>
    <definedName name="____con2" localSheetId="13">#REF!</definedName>
    <definedName name="____con2">#REF!</definedName>
    <definedName name="____con3" localSheetId="0">#REF!</definedName>
    <definedName name="____con3" localSheetId="1">#REF!</definedName>
    <definedName name="____con3" localSheetId="30">#REF!</definedName>
    <definedName name="____con3" localSheetId="14">#REF!</definedName>
    <definedName name="____con3" localSheetId="16">#REF!</definedName>
    <definedName name="____con3" localSheetId="7">#REF!</definedName>
    <definedName name="____con3" localSheetId="8">#REF!</definedName>
    <definedName name="____con3" localSheetId="9">#REF!</definedName>
    <definedName name="____con3" localSheetId="10">#REF!</definedName>
    <definedName name="____con3" localSheetId="19">#REF!</definedName>
    <definedName name="____con3" localSheetId="20">#REF!</definedName>
    <definedName name="____con3" localSheetId="6">#REF!</definedName>
    <definedName name="____con3" localSheetId="11">#REF!</definedName>
    <definedName name="____con3" localSheetId="12">#REF!</definedName>
    <definedName name="____con3" localSheetId="13">#REF!</definedName>
    <definedName name="____con3">#REF!</definedName>
    <definedName name="____con4" localSheetId="0">#REF!</definedName>
    <definedName name="____con4" localSheetId="1">#REF!</definedName>
    <definedName name="____con4" localSheetId="30">#REF!</definedName>
    <definedName name="____con4" localSheetId="14">#REF!</definedName>
    <definedName name="____con4" localSheetId="16">#REF!</definedName>
    <definedName name="____con4" localSheetId="7">#REF!</definedName>
    <definedName name="____con4" localSheetId="8">#REF!</definedName>
    <definedName name="____con4" localSheetId="9">#REF!</definedName>
    <definedName name="____con4" localSheetId="10">#REF!</definedName>
    <definedName name="____con4" localSheetId="19">#REF!</definedName>
    <definedName name="____con4" localSheetId="20">#REF!</definedName>
    <definedName name="____con4" localSheetId="6">#REF!</definedName>
    <definedName name="____con4" localSheetId="11">#REF!</definedName>
    <definedName name="____con4" localSheetId="12">#REF!</definedName>
    <definedName name="____con4" localSheetId="13">#REF!</definedName>
    <definedName name="____con4">#REF!</definedName>
    <definedName name="____fws1" localSheetId="1">'[1]11 ข้อมูลงานCon'!$AB$30</definedName>
    <definedName name="____fws1" localSheetId="30">'[1]11 ข้อมูลงานCon'!$AB$30</definedName>
    <definedName name="____fws1">'[2]11 ข้อมูลงานCon'!$AB$30</definedName>
    <definedName name="____sb1" localSheetId="1">'[1]12 ข้อมูลงานไม้แบบ'!$W$29</definedName>
    <definedName name="____sb1" localSheetId="30">'[1]12 ข้อมูลงานไม้แบบ'!$W$29</definedName>
    <definedName name="____sb1">'[2]12 ข้อมูลงานไม้แบบ'!$W$29</definedName>
    <definedName name="____sd30" localSheetId="0">#REF!</definedName>
    <definedName name="____sd30" localSheetId="1">#REF!</definedName>
    <definedName name="____sd30" localSheetId="30">#REF!</definedName>
    <definedName name="____sd30" localSheetId="14">#REF!</definedName>
    <definedName name="____sd30" localSheetId="16">#REF!</definedName>
    <definedName name="____sd30" localSheetId="7">#REF!</definedName>
    <definedName name="____sd30" localSheetId="8">#REF!</definedName>
    <definedName name="____sd30" localSheetId="9">#REF!</definedName>
    <definedName name="____sd30" localSheetId="10">#REF!</definedName>
    <definedName name="____sd30" localSheetId="19">#REF!</definedName>
    <definedName name="____sd30" localSheetId="20">#REF!</definedName>
    <definedName name="____sd30" localSheetId="6">#REF!</definedName>
    <definedName name="____sd30" localSheetId="11">#REF!</definedName>
    <definedName name="____sd30" localSheetId="12">#REF!</definedName>
    <definedName name="____sd30" localSheetId="13">#REF!</definedName>
    <definedName name="____sd30">#REF!</definedName>
    <definedName name="____sd40" localSheetId="0">#REF!</definedName>
    <definedName name="____sd40" localSheetId="1">#REF!</definedName>
    <definedName name="____sd40" localSheetId="30">#REF!</definedName>
    <definedName name="____sd40" localSheetId="14">#REF!</definedName>
    <definedName name="____sd40" localSheetId="16">#REF!</definedName>
    <definedName name="____sd40" localSheetId="7">#REF!</definedName>
    <definedName name="____sd40" localSheetId="8">#REF!</definedName>
    <definedName name="____sd40" localSheetId="9">#REF!</definedName>
    <definedName name="____sd40" localSheetId="10">#REF!</definedName>
    <definedName name="____sd40" localSheetId="19">#REF!</definedName>
    <definedName name="____sd40" localSheetId="20">#REF!</definedName>
    <definedName name="____sd40" localSheetId="6">#REF!</definedName>
    <definedName name="____sd40" localSheetId="11">#REF!</definedName>
    <definedName name="____sd40" localSheetId="12">#REF!</definedName>
    <definedName name="____sd40" localSheetId="13">#REF!</definedName>
    <definedName name="____sd40">#REF!</definedName>
    <definedName name="____st1" localSheetId="0">#REF!</definedName>
    <definedName name="____st1" localSheetId="1">#REF!</definedName>
    <definedName name="____st1" localSheetId="30">#REF!</definedName>
    <definedName name="____st1" localSheetId="14">#REF!</definedName>
    <definedName name="____st1" localSheetId="16">#REF!</definedName>
    <definedName name="____st1" localSheetId="7">#REF!</definedName>
    <definedName name="____st1" localSheetId="8">#REF!</definedName>
    <definedName name="____st1" localSheetId="9">#REF!</definedName>
    <definedName name="____st1" localSheetId="10">#REF!</definedName>
    <definedName name="____st1" localSheetId="19">#REF!</definedName>
    <definedName name="____st1" localSheetId="20">#REF!</definedName>
    <definedName name="____st1" localSheetId="6">#REF!</definedName>
    <definedName name="____st1" localSheetId="11">#REF!</definedName>
    <definedName name="____st1" localSheetId="12">#REF!</definedName>
    <definedName name="____st1" localSheetId="13">#REF!</definedName>
    <definedName name="____st1">#REF!</definedName>
    <definedName name="____st2" localSheetId="0">#REF!</definedName>
    <definedName name="____st2" localSheetId="1">#REF!</definedName>
    <definedName name="____st2" localSheetId="30">#REF!</definedName>
    <definedName name="____st2" localSheetId="14">#REF!</definedName>
    <definedName name="____st2" localSheetId="16">#REF!</definedName>
    <definedName name="____st2" localSheetId="7">#REF!</definedName>
    <definedName name="____st2" localSheetId="8">#REF!</definedName>
    <definedName name="____st2" localSheetId="9">#REF!</definedName>
    <definedName name="____st2" localSheetId="10">#REF!</definedName>
    <definedName name="____st2" localSheetId="19">#REF!</definedName>
    <definedName name="____st2" localSheetId="20">#REF!</definedName>
    <definedName name="____st2" localSheetId="6">#REF!</definedName>
    <definedName name="____st2" localSheetId="11">#REF!</definedName>
    <definedName name="____st2" localSheetId="12">#REF!</definedName>
    <definedName name="____st2" localSheetId="13">#REF!</definedName>
    <definedName name="____st2">#REF!</definedName>
    <definedName name="____st3" localSheetId="0">#REF!</definedName>
    <definedName name="____st3" localSheetId="1">#REF!</definedName>
    <definedName name="____st3" localSheetId="30">#REF!</definedName>
    <definedName name="____st3" localSheetId="14">#REF!</definedName>
    <definedName name="____st3" localSheetId="16">#REF!</definedName>
    <definedName name="____st3" localSheetId="7">#REF!</definedName>
    <definedName name="____st3" localSheetId="8">#REF!</definedName>
    <definedName name="____st3" localSheetId="9">#REF!</definedName>
    <definedName name="____st3" localSheetId="10">#REF!</definedName>
    <definedName name="____st3" localSheetId="19">#REF!</definedName>
    <definedName name="____st3" localSheetId="20">#REF!</definedName>
    <definedName name="____st3" localSheetId="6">#REF!</definedName>
    <definedName name="____st3" localSheetId="11">#REF!</definedName>
    <definedName name="____st3" localSheetId="12">#REF!</definedName>
    <definedName name="____st3" localSheetId="13">#REF!</definedName>
    <definedName name="____st3">#REF!</definedName>
    <definedName name="___con1" localSheetId="0">#REF!</definedName>
    <definedName name="___con1" localSheetId="1">#REF!</definedName>
    <definedName name="___con1" localSheetId="30">#REF!</definedName>
    <definedName name="___con1" localSheetId="14">#REF!</definedName>
    <definedName name="___con1" localSheetId="16">#REF!</definedName>
    <definedName name="___con1" localSheetId="7">#REF!</definedName>
    <definedName name="___con1" localSheetId="8">#REF!</definedName>
    <definedName name="___con1" localSheetId="9">#REF!</definedName>
    <definedName name="___con1" localSheetId="10">#REF!</definedName>
    <definedName name="___con1" localSheetId="19">#REF!</definedName>
    <definedName name="___con1" localSheetId="20">#REF!</definedName>
    <definedName name="___con1" localSheetId="6">#REF!</definedName>
    <definedName name="___con1" localSheetId="11">#REF!</definedName>
    <definedName name="___con1" localSheetId="12">#REF!</definedName>
    <definedName name="___con1" localSheetId="13">#REF!</definedName>
    <definedName name="___con1">#REF!</definedName>
    <definedName name="___ExD1002" localSheetId="1">[3]Form1!$A$73</definedName>
    <definedName name="___ExD1002" localSheetId="30">[3]Form1!$A$73</definedName>
    <definedName name="___ExD1002">[4]Form1!$A$73</definedName>
    <definedName name="___ExD1003" localSheetId="1">[3]Form1!$A$74</definedName>
    <definedName name="___ExD1003" localSheetId="30">[3]Form1!$A$74</definedName>
    <definedName name="___ExD1003">[4]Form1!$A$74</definedName>
    <definedName name="___ExD1202" localSheetId="1">[3]Form1!$A$75</definedName>
    <definedName name="___ExD1202" localSheetId="30">[3]Form1!$A$75</definedName>
    <definedName name="___ExD1202">[4]Form1!$A$75</definedName>
    <definedName name="___ExD1203" localSheetId="1">[3]Form1!$A$76</definedName>
    <definedName name="___ExD1203" localSheetId="30">[3]Form1!$A$76</definedName>
    <definedName name="___ExD1203">[4]Form1!$A$76</definedName>
    <definedName name="___ExD1502" localSheetId="1">[3]Form1!$A$77</definedName>
    <definedName name="___ExD1502" localSheetId="30">[3]Form1!$A$77</definedName>
    <definedName name="___ExD1502">[4]Form1!$A$77</definedName>
    <definedName name="___ExD1503" localSheetId="1">[3]Form1!$A$78</definedName>
    <definedName name="___ExD1503" localSheetId="30">[3]Form1!$A$78</definedName>
    <definedName name="___ExD1503">[4]Form1!$A$78</definedName>
    <definedName name="___ExD302" localSheetId="1">[3]Form1!$A$63</definedName>
    <definedName name="___ExD302" localSheetId="30">[3]Form1!$A$63</definedName>
    <definedName name="___ExD302">[4]Form1!$A$63</definedName>
    <definedName name="___ExD303" localSheetId="1">[3]Form1!$A$64</definedName>
    <definedName name="___ExD303" localSheetId="30">[3]Form1!$A$64</definedName>
    <definedName name="___ExD303">[4]Form1!$A$64</definedName>
    <definedName name="___ExD402" localSheetId="1">[3]Form1!$A$65</definedName>
    <definedName name="___ExD402" localSheetId="30">[3]Form1!$A$65</definedName>
    <definedName name="___ExD402">[4]Form1!$A$65</definedName>
    <definedName name="___ExD403" localSheetId="1">[3]Form1!$A$66</definedName>
    <definedName name="___ExD403" localSheetId="30">[3]Form1!$A$66</definedName>
    <definedName name="___ExD403">[4]Form1!$A$66</definedName>
    <definedName name="___ExD502" localSheetId="1">[3]Form1!$A$67</definedName>
    <definedName name="___ExD502" localSheetId="30">[3]Form1!$A$67</definedName>
    <definedName name="___ExD502">[4]Form1!$A$67</definedName>
    <definedName name="___ExD503" localSheetId="1">[3]Form1!$A$68</definedName>
    <definedName name="___ExD503" localSheetId="30">[3]Form1!$A$68</definedName>
    <definedName name="___ExD503">[4]Form1!$A$68</definedName>
    <definedName name="___ExD602" localSheetId="1">[3]Form1!$A$69</definedName>
    <definedName name="___ExD602" localSheetId="30">[3]Form1!$A$69</definedName>
    <definedName name="___ExD602">[4]Form1!$A$69</definedName>
    <definedName name="___ExD603" localSheetId="1">[3]Form1!$A$70</definedName>
    <definedName name="___ExD603" localSheetId="30">[3]Form1!$A$70</definedName>
    <definedName name="___ExD603">[4]Form1!$A$70</definedName>
    <definedName name="___ExD802" localSheetId="1">[3]Form1!$A$71</definedName>
    <definedName name="___ExD802" localSheetId="30">[3]Form1!$A$71</definedName>
    <definedName name="___ExD802">[4]Form1!$A$71</definedName>
    <definedName name="___ExD803" localSheetId="1">[3]Form1!$A$72</definedName>
    <definedName name="___ExD803" localSheetId="30">[3]Form1!$A$72</definedName>
    <definedName name="___ExD803">[4]Form1!$A$72</definedName>
    <definedName name="__BOX1">'[5]0.00-3.00'!$I$285:$X$297</definedName>
    <definedName name="__con11" localSheetId="0">#REF!</definedName>
    <definedName name="__con11" localSheetId="1">#REF!</definedName>
    <definedName name="__con11" localSheetId="30">#REF!</definedName>
    <definedName name="__con11" localSheetId="14">#REF!</definedName>
    <definedName name="__con11" localSheetId="16">#REF!</definedName>
    <definedName name="__con11" localSheetId="7">#REF!</definedName>
    <definedName name="__con11" localSheetId="8">#REF!</definedName>
    <definedName name="__con11" localSheetId="9">#REF!</definedName>
    <definedName name="__con11" localSheetId="10">#REF!</definedName>
    <definedName name="__con11" localSheetId="19">#REF!</definedName>
    <definedName name="__con11" localSheetId="20">#REF!</definedName>
    <definedName name="__con11" localSheetId="6">#REF!</definedName>
    <definedName name="__con11" localSheetId="11">#REF!</definedName>
    <definedName name="__con11" localSheetId="12">#REF!</definedName>
    <definedName name="__con11" localSheetId="13">#REF!</definedName>
    <definedName name="__con11">#REF!</definedName>
    <definedName name="__con2" localSheetId="0">#REF!</definedName>
    <definedName name="__con2" localSheetId="1">#REF!</definedName>
    <definedName name="__con2" localSheetId="30">#REF!</definedName>
    <definedName name="__con2" localSheetId="14">#REF!</definedName>
    <definedName name="__con2" localSheetId="16">#REF!</definedName>
    <definedName name="__con2" localSheetId="7">#REF!</definedName>
    <definedName name="__con2" localSheetId="8">#REF!</definedName>
    <definedName name="__con2" localSheetId="9">#REF!</definedName>
    <definedName name="__con2" localSheetId="10">#REF!</definedName>
    <definedName name="__con2" localSheetId="19">#REF!</definedName>
    <definedName name="__con2" localSheetId="20">#REF!</definedName>
    <definedName name="__con2" localSheetId="6">#REF!</definedName>
    <definedName name="__con2" localSheetId="11">#REF!</definedName>
    <definedName name="__con2" localSheetId="12">#REF!</definedName>
    <definedName name="__con2" localSheetId="13">#REF!</definedName>
    <definedName name="__con2">#REF!</definedName>
    <definedName name="__con3" localSheetId="0">#REF!</definedName>
    <definedName name="__con3" localSheetId="1">#REF!</definedName>
    <definedName name="__con3" localSheetId="30">#REF!</definedName>
    <definedName name="__con3" localSheetId="14">#REF!</definedName>
    <definedName name="__con3" localSheetId="16">#REF!</definedName>
    <definedName name="__con3" localSheetId="7">#REF!</definedName>
    <definedName name="__con3" localSheetId="8">#REF!</definedName>
    <definedName name="__con3" localSheetId="9">#REF!</definedName>
    <definedName name="__con3" localSheetId="10">#REF!</definedName>
    <definedName name="__con3" localSheetId="19">#REF!</definedName>
    <definedName name="__con3" localSheetId="20">#REF!</definedName>
    <definedName name="__con3" localSheetId="6">#REF!</definedName>
    <definedName name="__con3" localSheetId="11">#REF!</definedName>
    <definedName name="__con3" localSheetId="12">#REF!</definedName>
    <definedName name="__con3" localSheetId="13">#REF!</definedName>
    <definedName name="__con3">#REF!</definedName>
    <definedName name="__con4" localSheetId="0">#REF!</definedName>
    <definedName name="__con4" localSheetId="1">#REF!</definedName>
    <definedName name="__con4" localSheetId="30">#REF!</definedName>
    <definedName name="__con4" localSheetId="14">#REF!</definedName>
    <definedName name="__con4" localSheetId="16">#REF!</definedName>
    <definedName name="__con4" localSheetId="7">#REF!</definedName>
    <definedName name="__con4" localSheetId="8">#REF!</definedName>
    <definedName name="__con4" localSheetId="9">#REF!</definedName>
    <definedName name="__con4" localSheetId="10">#REF!</definedName>
    <definedName name="__con4" localSheetId="19">#REF!</definedName>
    <definedName name="__con4" localSheetId="20">#REF!</definedName>
    <definedName name="__con4" localSheetId="6">#REF!</definedName>
    <definedName name="__con4" localSheetId="11">#REF!</definedName>
    <definedName name="__con4" localSheetId="12">#REF!</definedName>
    <definedName name="__con4" localSheetId="13">#REF!</definedName>
    <definedName name="__con4">#REF!</definedName>
    <definedName name="__cut1">[6]ค่างานต้นทุน!$H$18</definedName>
    <definedName name="__ExD1002" localSheetId="1">[3]Form1!$A$73</definedName>
    <definedName name="__ExD1002" localSheetId="30">[3]Form1!$A$73</definedName>
    <definedName name="__ExD1002">[4]Form1!$A$73</definedName>
    <definedName name="__ExD1003" localSheetId="1">[3]Form1!$A$74</definedName>
    <definedName name="__ExD1003" localSheetId="30">[3]Form1!$A$74</definedName>
    <definedName name="__ExD1003">[4]Form1!$A$74</definedName>
    <definedName name="__ExD1202" localSheetId="1">[3]Form1!$A$75</definedName>
    <definedName name="__ExD1202" localSheetId="30">[3]Form1!$A$75</definedName>
    <definedName name="__ExD1202">[4]Form1!$A$75</definedName>
    <definedName name="__ExD1203" localSheetId="1">[3]Form1!$A$76</definedName>
    <definedName name="__ExD1203" localSheetId="30">[3]Form1!$A$76</definedName>
    <definedName name="__ExD1203">[4]Form1!$A$76</definedName>
    <definedName name="__ExD1502" localSheetId="1">[3]Form1!$A$77</definedName>
    <definedName name="__ExD1502" localSheetId="30">[3]Form1!$A$77</definedName>
    <definedName name="__ExD1502">[4]Form1!$A$77</definedName>
    <definedName name="__ExD1503" localSheetId="1">[3]Form1!$A$78</definedName>
    <definedName name="__ExD1503" localSheetId="30">[3]Form1!$A$78</definedName>
    <definedName name="__ExD1503">[4]Form1!$A$78</definedName>
    <definedName name="__ExD302" localSheetId="1">[3]Form1!$A$63</definedName>
    <definedName name="__ExD302" localSheetId="30">[3]Form1!$A$63</definedName>
    <definedName name="__ExD302">[4]Form1!$A$63</definedName>
    <definedName name="__ExD303" localSheetId="1">[3]Form1!$A$64</definedName>
    <definedName name="__ExD303" localSheetId="30">[3]Form1!$A$64</definedName>
    <definedName name="__ExD303">[4]Form1!$A$64</definedName>
    <definedName name="__ExD402" localSheetId="1">[3]Form1!$A$65</definedName>
    <definedName name="__ExD402" localSheetId="30">[3]Form1!$A$65</definedName>
    <definedName name="__ExD402">[4]Form1!$A$65</definedName>
    <definedName name="__ExD403" localSheetId="1">[3]Form1!$A$66</definedName>
    <definedName name="__ExD403" localSheetId="30">[3]Form1!$A$66</definedName>
    <definedName name="__ExD403">[4]Form1!$A$66</definedName>
    <definedName name="__ExD502" localSheetId="1">[3]Form1!$A$67</definedName>
    <definedName name="__ExD502" localSheetId="30">[3]Form1!$A$67</definedName>
    <definedName name="__ExD502">[4]Form1!$A$67</definedName>
    <definedName name="__ExD503" localSheetId="1">[3]Form1!$A$68</definedName>
    <definedName name="__ExD503" localSheetId="30">[3]Form1!$A$68</definedName>
    <definedName name="__ExD503">[4]Form1!$A$68</definedName>
    <definedName name="__ExD602" localSheetId="1">[3]Form1!$A$69</definedName>
    <definedName name="__ExD602" localSheetId="30">[3]Form1!$A$69</definedName>
    <definedName name="__ExD602">[4]Form1!$A$69</definedName>
    <definedName name="__ExD603" localSheetId="1">[3]Form1!$A$70</definedName>
    <definedName name="__ExD603" localSheetId="30">[3]Form1!$A$70</definedName>
    <definedName name="__ExD603">[4]Form1!$A$70</definedName>
    <definedName name="__ExD802" localSheetId="1">[3]Form1!$A$71</definedName>
    <definedName name="__ExD802" localSheetId="30">[3]Form1!$A$71</definedName>
    <definedName name="__ExD802">[4]Form1!$A$71</definedName>
    <definedName name="__ExD803" localSheetId="1">[3]Form1!$A$72</definedName>
    <definedName name="__ExD803" localSheetId="30">[3]Form1!$A$72</definedName>
    <definedName name="__ExD803">[4]Form1!$A$72</definedName>
    <definedName name="__fws1" localSheetId="1">'[1]11 ข้อมูลงานCon'!$AB$30</definedName>
    <definedName name="__fws1" localSheetId="30">'[1]11 ข้อมูลงานCon'!$AB$30</definedName>
    <definedName name="__fws1">'[2]11 ข้อมูลงานCon'!$AB$30</definedName>
    <definedName name="__sb1" localSheetId="1">'[1]12 ข้อมูลงานไม้แบบ'!$W$29</definedName>
    <definedName name="__sb1" localSheetId="30">'[1]12 ข้อมูลงานไม้แบบ'!$W$29</definedName>
    <definedName name="__sb1">'[2]12 ข้อมูลงานไม้แบบ'!$W$29</definedName>
    <definedName name="__sd30" localSheetId="0">#REF!</definedName>
    <definedName name="__sd30" localSheetId="1">#REF!</definedName>
    <definedName name="__sd30" localSheetId="30">#REF!</definedName>
    <definedName name="__sd30" localSheetId="14">#REF!</definedName>
    <definedName name="__sd30" localSheetId="16">#REF!</definedName>
    <definedName name="__sd30" localSheetId="7">#REF!</definedName>
    <definedName name="__sd30" localSheetId="8">#REF!</definedName>
    <definedName name="__sd30" localSheetId="9">#REF!</definedName>
    <definedName name="__sd30" localSheetId="10">#REF!</definedName>
    <definedName name="__sd30" localSheetId="19">#REF!</definedName>
    <definedName name="__sd30" localSheetId="20">#REF!</definedName>
    <definedName name="__sd30" localSheetId="6">#REF!</definedName>
    <definedName name="__sd30" localSheetId="11">#REF!</definedName>
    <definedName name="__sd30" localSheetId="12">#REF!</definedName>
    <definedName name="__sd30" localSheetId="13">#REF!</definedName>
    <definedName name="__sd30">#REF!</definedName>
    <definedName name="__sd40" localSheetId="0">#REF!</definedName>
    <definedName name="__sd40" localSheetId="1">#REF!</definedName>
    <definedName name="__sd40" localSheetId="30">#REF!</definedName>
    <definedName name="__sd40" localSheetId="14">#REF!</definedName>
    <definedName name="__sd40" localSheetId="16">#REF!</definedName>
    <definedName name="__sd40" localSheetId="7">#REF!</definedName>
    <definedName name="__sd40" localSheetId="8">#REF!</definedName>
    <definedName name="__sd40" localSheetId="9">#REF!</definedName>
    <definedName name="__sd40" localSheetId="10">#REF!</definedName>
    <definedName name="__sd40" localSheetId="19">#REF!</definedName>
    <definedName name="__sd40" localSheetId="20">#REF!</definedName>
    <definedName name="__sd40" localSheetId="6">#REF!</definedName>
    <definedName name="__sd40" localSheetId="11">#REF!</definedName>
    <definedName name="__sd40" localSheetId="12">#REF!</definedName>
    <definedName name="__sd40" localSheetId="13">#REF!</definedName>
    <definedName name="__sd40">#REF!</definedName>
    <definedName name="__st1" localSheetId="0">#REF!</definedName>
    <definedName name="__st1" localSheetId="1">#REF!</definedName>
    <definedName name="__st1" localSheetId="30">#REF!</definedName>
    <definedName name="__st1" localSheetId="14">#REF!</definedName>
    <definedName name="__st1" localSheetId="16">#REF!</definedName>
    <definedName name="__st1" localSheetId="7">#REF!</definedName>
    <definedName name="__st1" localSheetId="8">#REF!</definedName>
    <definedName name="__st1" localSheetId="9">#REF!</definedName>
    <definedName name="__st1" localSheetId="10">#REF!</definedName>
    <definedName name="__st1" localSheetId="19">#REF!</definedName>
    <definedName name="__st1" localSheetId="20">#REF!</definedName>
    <definedName name="__st1" localSheetId="6">#REF!</definedName>
    <definedName name="__st1" localSheetId="11">#REF!</definedName>
    <definedName name="__st1" localSheetId="12">#REF!</definedName>
    <definedName name="__st1" localSheetId="13">#REF!</definedName>
    <definedName name="__st1">#REF!</definedName>
    <definedName name="__st2" localSheetId="0">#REF!</definedName>
    <definedName name="__st2" localSheetId="1">#REF!</definedName>
    <definedName name="__st2" localSheetId="30">#REF!</definedName>
    <definedName name="__st2" localSheetId="14">#REF!</definedName>
    <definedName name="__st2" localSheetId="16">#REF!</definedName>
    <definedName name="__st2" localSheetId="7">#REF!</definedName>
    <definedName name="__st2" localSheetId="8">#REF!</definedName>
    <definedName name="__st2" localSheetId="9">#REF!</definedName>
    <definedName name="__st2" localSheetId="10">#REF!</definedName>
    <definedName name="__st2" localSheetId="19">#REF!</definedName>
    <definedName name="__st2" localSheetId="20">#REF!</definedName>
    <definedName name="__st2" localSheetId="6">#REF!</definedName>
    <definedName name="__st2" localSheetId="11">#REF!</definedName>
    <definedName name="__st2" localSheetId="12">#REF!</definedName>
    <definedName name="__st2" localSheetId="13">#REF!</definedName>
    <definedName name="__st2">#REF!</definedName>
    <definedName name="__st3" localSheetId="0">#REF!</definedName>
    <definedName name="__st3" localSheetId="1">#REF!</definedName>
    <definedName name="__st3" localSheetId="30">#REF!</definedName>
    <definedName name="__st3" localSheetId="14">#REF!</definedName>
    <definedName name="__st3" localSheetId="16">#REF!</definedName>
    <definedName name="__st3" localSheetId="7">#REF!</definedName>
    <definedName name="__st3" localSheetId="8">#REF!</definedName>
    <definedName name="__st3" localSheetId="9">#REF!</definedName>
    <definedName name="__st3" localSheetId="10">#REF!</definedName>
    <definedName name="__st3" localSheetId="19">#REF!</definedName>
    <definedName name="__st3" localSheetId="20">#REF!</definedName>
    <definedName name="__st3" localSheetId="6">#REF!</definedName>
    <definedName name="__st3" localSheetId="11">#REF!</definedName>
    <definedName name="__st3" localSheetId="12">#REF!</definedName>
    <definedName name="__st3" localSheetId="13">#REF!</definedName>
    <definedName name="__st3">#REF!</definedName>
    <definedName name="_78691_4" localSheetId="0">#REF!</definedName>
    <definedName name="_78691_4" localSheetId="1">#REF!</definedName>
    <definedName name="_78691_4" localSheetId="30">#REF!</definedName>
    <definedName name="_78691_4" localSheetId="14">#REF!</definedName>
    <definedName name="_78691_4" localSheetId="16">#REF!</definedName>
    <definedName name="_78691_4" localSheetId="7">#REF!</definedName>
    <definedName name="_78691_4" localSheetId="8">#REF!</definedName>
    <definedName name="_78691_4" localSheetId="9">#REF!</definedName>
    <definedName name="_78691_4" localSheetId="10">#REF!</definedName>
    <definedName name="_78691_4" localSheetId="19">#REF!</definedName>
    <definedName name="_78691_4" localSheetId="20">#REF!</definedName>
    <definedName name="_78691_4" localSheetId="6">#REF!</definedName>
    <definedName name="_78691_4" localSheetId="11">#REF!</definedName>
    <definedName name="_78691_4" localSheetId="12">#REF!</definedName>
    <definedName name="_78691_4" localSheetId="13">#REF!</definedName>
    <definedName name="_78691_4">#REF!</definedName>
    <definedName name="_BOX1">'[5]0.00-3.00'!$I$285:$X$297</definedName>
    <definedName name="_con1" localSheetId="0">#REF!</definedName>
    <definedName name="_con1" localSheetId="1">#REF!</definedName>
    <definedName name="_con1" localSheetId="30">#REF!</definedName>
    <definedName name="_con1" localSheetId="14">#REF!</definedName>
    <definedName name="_con1" localSheetId="16">#REF!</definedName>
    <definedName name="_con1" localSheetId="7">#REF!</definedName>
    <definedName name="_con1" localSheetId="8">#REF!</definedName>
    <definedName name="_con1" localSheetId="9">#REF!</definedName>
    <definedName name="_con1" localSheetId="10">#REF!</definedName>
    <definedName name="_con1" localSheetId="19">#REF!</definedName>
    <definedName name="_con1" localSheetId="20">#REF!</definedName>
    <definedName name="_con1" localSheetId="6">#REF!</definedName>
    <definedName name="_con1" localSheetId="11">#REF!</definedName>
    <definedName name="_con1" localSheetId="12">#REF!</definedName>
    <definedName name="_con1" localSheetId="13">#REF!</definedName>
    <definedName name="_con1">#REF!</definedName>
    <definedName name="_con11" localSheetId="0">#REF!</definedName>
    <definedName name="_con11" localSheetId="1">#REF!</definedName>
    <definedName name="_con11" localSheetId="30">#REF!</definedName>
    <definedName name="_con11" localSheetId="14">#REF!</definedName>
    <definedName name="_con11" localSheetId="16">#REF!</definedName>
    <definedName name="_con11" localSheetId="7">#REF!</definedName>
    <definedName name="_con11" localSheetId="8">#REF!</definedName>
    <definedName name="_con11" localSheetId="9">#REF!</definedName>
    <definedName name="_con11" localSheetId="10">#REF!</definedName>
    <definedName name="_con11" localSheetId="19">#REF!</definedName>
    <definedName name="_con11" localSheetId="20">#REF!</definedName>
    <definedName name="_con11" localSheetId="6">#REF!</definedName>
    <definedName name="_con11" localSheetId="11">#REF!</definedName>
    <definedName name="_con11" localSheetId="12">#REF!</definedName>
    <definedName name="_con11" localSheetId="13">#REF!</definedName>
    <definedName name="_con11">#REF!</definedName>
    <definedName name="_con2" localSheetId="0">#REF!</definedName>
    <definedName name="_con2" localSheetId="1">#REF!</definedName>
    <definedName name="_con2" localSheetId="30">#REF!</definedName>
    <definedName name="_con2" localSheetId="14">#REF!</definedName>
    <definedName name="_con2" localSheetId="16">#REF!</definedName>
    <definedName name="_con2" localSheetId="7">#REF!</definedName>
    <definedName name="_con2" localSheetId="8">#REF!</definedName>
    <definedName name="_con2" localSheetId="9">#REF!</definedName>
    <definedName name="_con2" localSheetId="10">#REF!</definedName>
    <definedName name="_con2" localSheetId="19">#REF!</definedName>
    <definedName name="_con2" localSheetId="20">#REF!</definedName>
    <definedName name="_con2" localSheetId="6">#REF!</definedName>
    <definedName name="_con2" localSheetId="11">#REF!</definedName>
    <definedName name="_con2" localSheetId="12">#REF!</definedName>
    <definedName name="_con2" localSheetId="13">#REF!</definedName>
    <definedName name="_con2">#REF!</definedName>
    <definedName name="_con3" localSheetId="0">#REF!</definedName>
    <definedName name="_con3" localSheetId="1">#REF!</definedName>
    <definedName name="_con3" localSheetId="30">#REF!</definedName>
    <definedName name="_con3" localSheetId="14">#REF!</definedName>
    <definedName name="_con3" localSheetId="16">#REF!</definedName>
    <definedName name="_con3" localSheetId="7">#REF!</definedName>
    <definedName name="_con3" localSheetId="8">#REF!</definedName>
    <definedName name="_con3" localSheetId="9">#REF!</definedName>
    <definedName name="_con3" localSheetId="10">#REF!</definedName>
    <definedName name="_con3" localSheetId="19">#REF!</definedName>
    <definedName name="_con3" localSheetId="20">#REF!</definedName>
    <definedName name="_con3" localSheetId="6">#REF!</definedName>
    <definedName name="_con3" localSheetId="11">#REF!</definedName>
    <definedName name="_con3" localSheetId="12">#REF!</definedName>
    <definedName name="_con3" localSheetId="13">#REF!</definedName>
    <definedName name="_con3">#REF!</definedName>
    <definedName name="_con4" localSheetId="0">#REF!</definedName>
    <definedName name="_con4" localSheetId="1">#REF!</definedName>
    <definedName name="_con4" localSheetId="30">#REF!</definedName>
    <definedName name="_con4" localSheetId="14">#REF!</definedName>
    <definedName name="_con4" localSheetId="16">#REF!</definedName>
    <definedName name="_con4" localSheetId="7">#REF!</definedName>
    <definedName name="_con4" localSheetId="8">#REF!</definedName>
    <definedName name="_con4" localSheetId="9">#REF!</definedName>
    <definedName name="_con4" localSheetId="10">#REF!</definedName>
    <definedName name="_con4" localSheetId="19">#REF!</definedName>
    <definedName name="_con4" localSheetId="20">#REF!</definedName>
    <definedName name="_con4" localSheetId="6">#REF!</definedName>
    <definedName name="_con4" localSheetId="11">#REF!</definedName>
    <definedName name="_con4" localSheetId="12">#REF!</definedName>
    <definedName name="_con4" localSheetId="13">#REF!</definedName>
    <definedName name="_con4">#REF!</definedName>
    <definedName name="_cut1" localSheetId="1">[7]ค่างานต้นทุน!$H$18</definedName>
    <definedName name="_cut1" localSheetId="30">[7]ค่างานต้นทุน!$H$18</definedName>
    <definedName name="_cut1">[6]ค่างานต้นทุน!$H$18</definedName>
    <definedName name="_ExD1002" localSheetId="1">[8]Sheet1!$A$78</definedName>
    <definedName name="_ExD1002" localSheetId="30">[8]Sheet1!$A$78</definedName>
    <definedName name="_ExD1002">[4]Form1!$A$73</definedName>
    <definedName name="_ExD1003" localSheetId="1">[8]Sheet1!$A$79</definedName>
    <definedName name="_ExD1003" localSheetId="30">[8]Sheet1!$A$79</definedName>
    <definedName name="_ExD1003">[4]Form1!$A$74</definedName>
    <definedName name="_ExD1202" localSheetId="1">[8]Sheet1!$A$80</definedName>
    <definedName name="_ExD1202" localSheetId="30">[8]Sheet1!$A$80</definedName>
    <definedName name="_ExD1202">[4]Form1!$A$75</definedName>
    <definedName name="_ExD1203" localSheetId="1">[8]Sheet1!$A$81</definedName>
    <definedName name="_ExD1203" localSheetId="30">[8]Sheet1!$A$81</definedName>
    <definedName name="_ExD1203">[4]Form1!$A$76</definedName>
    <definedName name="_ExD1502" localSheetId="1">[8]Sheet1!$A$82</definedName>
    <definedName name="_ExD1502" localSheetId="30">[8]Sheet1!$A$82</definedName>
    <definedName name="_ExD1502">[4]Form1!$A$77</definedName>
    <definedName name="_ExD1503" localSheetId="1">[8]Sheet1!$A$83</definedName>
    <definedName name="_ExD1503" localSheetId="30">[8]Sheet1!$A$83</definedName>
    <definedName name="_ExD1503">[4]Form1!$A$78</definedName>
    <definedName name="_ExD302" localSheetId="1">[8]Sheet1!$A$68</definedName>
    <definedName name="_ExD302" localSheetId="30">[8]Sheet1!$A$68</definedName>
    <definedName name="_ExD302">[4]Form1!$A$63</definedName>
    <definedName name="_ExD303" localSheetId="1">[8]Sheet1!$A$69</definedName>
    <definedName name="_ExD303" localSheetId="30">[8]Sheet1!$A$69</definedName>
    <definedName name="_ExD303">[4]Form1!$A$64</definedName>
    <definedName name="_ExD402" localSheetId="1">[8]Sheet1!$A$70</definedName>
    <definedName name="_ExD402" localSheetId="30">[8]Sheet1!$A$70</definedName>
    <definedName name="_ExD402">[4]Form1!$A$65</definedName>
    <definedName name="_ExD403" localSheetId="1">[8]Sheet1!$A$71</definedName>
    <definedName name="_ExD403" localSheetId="30">[8]Sheet1!$A$71</definedName>
    <definedName name="_ExD403">[4]Form1!$A$66</definedName>
    <definedName name="_ExD502" localSheetId="1">[8]Sheet1!$A$72</definedName>
    <definedName name="_ExD502" localSheetId="30">[8]Sheet1!$A$72</definedName>
    <definedName name="_ExD502">[4]Form1!$A$67</definedName>
    <definedName name="_ExD503" localSheetId="1">[8]Sheet1!$A$73</definedName>
    <definedName name="_ExD503" localSheetId="30">[8]Sheet1!$A$73</definedName>
    <definedName name="_ExD503">[4]Form1!$A$68</definedName>
    <definedName name="_ExD602" localSheetId="1">[8]Sheet1!$A$74</definedName>
    <definedName name="_ExD602" localSheetId="30">[8]Sheet1!$A$74</definedName>
    <definedName name="_ExD602">[4]Form1!$A$69</definedName>
    <definedName name="_ExD603" localSheetId="1">[8]Sheet1!$A$75</definedName>
    <definedName name="_ExD603" localSheetId="30">[8]Sheet1!$A$75</definedName>
    <definedName name="_ExD603">[4]Form1!$A$70</definedName>
    <definedName name="_ExD802" localSheetId="1">[8]Sheet1!$A$76</definedName>
    <definedName name="_ExD802" localSheetId="30">[8]Sheet1!$A$76</definedName>
    <definedName name="_ExD802">[4]Form1!$A$71</definedName>
    <definedName name="_ExD803" localSheetId="1">[8]Sheet1!$A$77</definedName>
    <definedName name="_ExD803" localSheetId="30">[8]Sheet1!$A$77</definedName>
    <definedName name="_ExD803">[4]Form1!$A$72</definedName>
    <definedName name="_fws1" localSheetId="1">'[1]11 ข้อมูลงานCon'!$AB$30</definedName>
    <definedName name="_fws1" localSheetId="30">'[1]11 ข้อมูลงานCon'!$AB$30</definedName>
    <definedName name="_fws1">'[2]11 ข้อมูลงานCon'!$AB$30</definedName>
    <definedName name="_ml1">[9]ค่าขนส่งด้วยรถพ่วง!$S$27</definedName>
    <definedName name="_Pm2544" localSheetId="1">#REF!</definedName>
    <definedName name="_Pm2544" localSheetId="30">#REF!</definedName>
    <definedName name="_RB9">'[10]ต้นทุนcon,steel&amp;แบบ'!$J$184</definedName>
    <definedName name="_sb1" localSheetId="1">'[1]12 ข้อมูลงานไม้แบบ'!$W$29</definedName>
    <definedName name="_sb1" localSheetId="30">'[1]12 ข้อมูลงานไม้แบบ'!$W$29</definedName>
    <definedName name="_sb1">'[2]12 ข้อมูลงานไม้แบบ'!$W$29</definedName>
    <definedName name="_sd30" localSheetId="0">#REF!</definedName>
    <definedName name="_sd30" localSheetId="1">#REF!</definedName>
    <definedName name="_sd30" localSheetId="30">#REF!</definedName>
    <definedName name="_sd30" localSheetId="14">#REF!</definedName>
    <definedName name="_sd30" localSheetId="16">#REF!</definedName>
    <definedName name="_sd30" localSheetId="7">#REF!</definedName>
    <definedName name="_sd30" localSheetId="8">#REF!</definedName>
    <definedName name="_sd30" localSheetId="9">#REF!</definedName>
    <definedName name="_sd30" localSheetId="10">#REF!</definedName>
    <definedName name="_sd30" localSheetId="19">#REF!</definedName>
    <definedName name="_sd30" localSheetId="20">#REF!</definedName>
    <definedName name="_sd30" localSheetId="6">#REF!</definedName>
    <definedName name="_sd30" localSheetId="11">#REF!</definedName>
    <definedName name="_sd30" localSheetId="12">#REF!</definedName>
    <definedName name="_sd30" localSheetId="13">#REF!</definedName>
    <definedName name="_sd30">#REF!</definedName>
    <definedName name="_sd40" localSheetId="0">#REF!</definedName>
    <definedName name="_sd40" localSheetId="1">#REF!</definedName>
    <definedName name="_sd40" localSheetId="30">#REF!</definedName>
    <definedName name="_sd40" localSheetId="14">#REF!</definedName>
    <definedName name="_sd40" localSheetId="16">#REF!</definedName>
    <definedName name="_sd40" localSheetId="7">#REF!</definedName>
    <definedName name="_sd40" localSheetId="8">#REF!</definedName>
    <definedName name="_sd40" localSheetId="9">#REF!</definedName>
    <definedName name="_sd40" localSheetId="10">#REF!</definedName>
    <definedName name="_sd40" localSheetId="19">#REF!</definedName>
    <definedName name="_sd40" localSheetId="20">#REF!</definedName>
    <definedName name="_sd40" localSheetId="6">#REF!</definedName>
    <definedName name="_sd40" localSheetId="11">#REF!</definedName>
    <definedName name="_sd40" localSheetId="12">#REF!</definedName>
    <definedName name="_sd40" localSheetId="13">#REF!</definedName>
    <definedName name="_sd40">#REF!</definedName>
    <definedName name="_sp1">[9]ค่าขนส่งด้วยรถพ่วง!$S$31</definedName>
    <definedName name="_st1" localSheetId="0">#REF!</definedName>
    <definedName name="_st1" localSheetId="1">#REF!</definedName>
    <definedName name="_st1" localSheetId="30">#REF!</definedName>
    <definedName name="_st1" localSheetId="14">#REF!</definedName>
    <definedName name="_st1" localSheetId="16">#REF!</definedName>
    <definedName name="_st1" localSheetId="7">#REF!</definedName>
    <definedName name="_st1" localSheetId="8">#REF!</definedName>
    <definedName name="_st1" localSheetId="9">#REF!</definedName>
    <definedName name="_st1" localSheetId="10">#REF!</definedName>
    <definedName name="_st1" localSheetId="19">#REF!</definedName>
    <definedName name="_st1" localSheetId="20">#REF!</definedName>
    <definedName name="_st1" localSheetId="6">#REF!</definedName>
    <definedName name="_st1" localSheetId="11">#REF!</definedName>
    <definedName name="_st1" localSheetId="12">#REF!</definedName>
    <definedName name="_st1" localSheetId="13">#REF!</definedName>
    <definedName name="_st1">#REF!</definedName>
    <definedName name="_st2" localSheetId="0">#REF!</definedName>
    <definedName name="_st2" localSheetId="1">#REF!</definedName>
    <definedName name="_st2" localSheetId="30">#REF!</definedName>
    <definedName name="_st2" localSheetId="14">#REF!</definedName>
    <definedName name="_st2" localSheetId="16">#REF!</definedName>
    <definedName name="_st2" localSheetId="7">#REF!</definedName>
    <definedName name="_st2" localSheetId="8">#REF!</definedName>
    <definedName name="_st2" localSheetId="9">#REF!</definedName>
    <definedName name="_st2" localSheetId="10">#REF!</definedName>
    <definedName name="_st2" localSheetId="19">#REF!</definedName>
    <definedName name="_st2" localSheetId="20">#REF!</definedName>
    <definedName name="_st2" localSheetId="6">#REF!</definedName>
    <definedName name="_st2" localSheetId="11">#REF!</definedName>
    <definedName name="_st2" localSheetId="12">#REF!</definedName>
    <definedName name="_st2" localSheetId="13">#REF!</definedName>
    <definedName name="_st2">#REF!</definedName>
    <definedName name="_st3" localSheetId="0">#REF!</definedName>
    <definedName name="_st3" localSheetId="1">#REF!</definedName>
    <definedName name="_st3" localSheetId="30">#REF!</definedName>
    <definedName name="_st3" localSheetId="14">#REF!</definedName>
    <definedName name="_st3" localSheetId="16">#REF!</definedName>
    <definedName name="_st3" localSheetId="7">#REF!</definedName>
    <definedName name="_st3" localSheetId="8">#REF!</definedName>
    <definedName name="_st3" localSheetId="9">#REF!</definedName>
    <definedName name="_st3" localSheetId="10">#REF!</definedName>
    <definedName name="_st3" localSheetId="19">#REF!</definedName>
    <definedName name="_st3" localSheetId="20">#REF!</definedName>
    <definedName name="_st3" localSheetId="6">#REF!</definedName>
    <definedName name="_st3" localSheetId="11">#REF!</definedName>
    <definedName name="_st3" localSheetId="12">#REF!</definedName>
    <definedName name="_st3" localSheetId="13">#REF!</definedName>
    <definedName name="_st3">#REF!</definedName>
    <definedName name="_tc1">[9]ค่าขนส่งด้วยรถพ่วง!$S$78</definedName>
    <definedName name="aa" localSheetId="1">'[11]12 ข้อมูลงานไม้แบบ'!$W$29</definedName>
    <definedName name="aa" localSheetId="30">'[11]12 ข้อมูลงานไม้แบบ'!$W$29</definedName>
    <definedName name="aa">'[12]12 ข้อมูลงานไม้แบบ'!$W$29</definedName>
    <definedName name="aaaaaa" localSheetId="1">[13]กรอกราคาวัสดุที่แหล่ง!$S$62</definedName>
    <definedName name="aaaaaa" localSheetId="30">[13]กรอกราคาวัสดุที่แหล่ง!$S$62</definedName>
    <definedName name="aaaaaa">[14]กรอกราคาวัสดุที่แหล่ง!$S$62</definedName>
    <definedName name="AB" localSheetId="1">'[15]12 ข้อมูลงานไม้แบบ'!$W$29</definedName>
    <definedName name="AB" localSheetId="30">'[15]12 ข้อมูลงานไม้แบบ'!$W$29</definedName>
    <definedName name="AB">'[16]12 ข้อมูลงานไม้แบบ'!$W$29</definedName>
    <definedName name="AC" localSheetId="0">#REF!</definedName>
    <definedName name="AC" localSheetId="1">#REF!</definedName>
    <definedName name="AC" localSheetId="30">#REF!</definedName>
    <definedName name="AC" localSheetId="14">#REF!</definedName>
    <definedName name="AC" localSheetId="16">#REF!</definedName>
    <definedName name="AC" localSheetId="7">#REF!</definedName>
    <definedName name="AC" localSheetId="8">#REF!</definedName>
    <definedName name="AC" localSheetId="9">#REF!</definedName>
    <definedName name="AC" localSheetId="10">#REF!</definedName>
    <definedName name="AC" localSheetId="19">#REF!</definedName>
    <definedName name="AC" localSheetId="20">#REF!</definedName>
    <definedName name="AC" localSheetId="6">#REF!</definedName>
    <definedName name="AC" localSheetId="11">#REF!</definedName>
    <definedName name="AC" localSheetId="12">#REF!</definedName>
    <definedName name="AC" localSheetId="13">#REF!</definedName>
    <definedName name="AC">#REF!</definedName>
    <definedName name="AC_Scarify" localSheetId="0">#REF!</definedName>
    <definedName name="AC_Scarify" localSheetId="1">[17]ค่างานต้นทุนต่อหน่วย!#REF!</definedName>
    <definedName name="AC_Scarify" localSheetId="30">[17]ค่างานต้นทุนต่อหน่วย!#REF!</definedName>
    <definedName name="AC_Scarify" localSheetId="14">#REF!</definedName>
    <definedName name="AC_Scarify" localSheetId="16">#REF!</definedName>
    <definedName name="AC_Scarify" localSheetId="7">#REF!</definedName>
    <definedName name="AC_Scarify" localSheetId="8">#REF!</definedName>
    <definedName name="AC_Scarify" localSheetId="9">#REF!</definedName>
    <definedName name="AC_Scarify" localSheetId="10">#REF!</definedName>
    <definedName name="AC_Scarify" localSheetId="19">#REF!</definedName>
    <definedName name="AC_Scarify" localSheetId="20">#REF!</definedName>
    <definedName name="AC_Scarify" localSheetId="6">#REF!</definedName>
    <definedName name="AC_Scarify" localSheetId="11">#REF!</definedName>
    <definedName name="AC_Scarify" localSheetId="12">#REF!</definedName>
    <definedName name="AC_Scarify" localSheetId="13">#REF!</definedName>
    <definedName name="AC_Scarify">#REF!</definedName>
    <definedName name="Acon">[18]ตารางปริมาณงาน!$N$77</definedName>
    <definedName name="AddHMA" localSheetId="0">#REF!</definedName>
    <definedName name="AddHMA" localSheetId="1">[17]ค่างานต้นทุนต่อหน่วย!#REF!</definedName>
    <definedName name="AddHMA" localSheetId="30">[17]ค่างานต้นทุนต่อหน่วย!#REF!</definedName>
    <definedName name="AddHMA" localSheetId="14">#REF!</definedName>
    <definedName name="AddHMA" localSheetId="16">#REF!</definedName>
    <definedName name="AddHMA" localSheetId="7">#REF!</definedName>
    <definedName name="AddHMA" localSheetId="8">#REF!</definedName>
    <definedName name="AddHMA" localSheetId="9">#REF!</definedName>
    <definedName name="AddHMA" localSheetId="10">#REF!</definedName>
    <definedName name="AddHMA" localSheetId="19">#REF!</definedName>
    <definedName name="AddHMA" localSheetId="20">#REF!</definedName>
    <definedName name="AddHMA" localSheetId="6">#REF!</definedName>
    <definedName name="AddHMA" localSheetId="11">#REF!</definedName>
    <definedName name="AddHMA" localSheetId="12">#REF!</definedName>
    <definedName name="AddHMA" localSheetId="13">#REF!</definedName>
    <definedName name="AddHMA">#REF!</definedName>
    <definedName name="AExpan">[18]ตารางปริมาณงาน!$K$77</definedName>
    <definedName name="Along">[18]ตารางปริมาณงาน!$N$80</definedName>
    <definedName name="APPR1">[5]วัสดุAPPROACH1!$J$55:$O$78</definedName>
    <definedName name="APPR2">[5]วัสดุAPPROACH2!$J$55:$O$78</definedName>
    <definedName name="Approach_Concrete_Barrier_A" localSheetId="1">[17]ค่างานต้นทุนต่อหน่วย!#REF!</definedName>
    <definedName name="Approach_Concrete_Barrier_A" localSheetId="30">[17]ค่างานต้นทุนต่อหน่วย!#REF!</definedName>
    <definedName name="Approach_Concrete_Barrier_A">'[19]Cost Estimate'!#REF!</definedName>
    <definedName name="Approach_Concrete_Barrier_B" localSheetId="1">[17]ค่างานต้นทุนต่อหน่วย!#REF!</definedName>
    <definedName name="Approach_Concrete_Barrier_B" localSheetId="30">[17]ค่างานต้นทุนต่อหน่วย!#REF!</definedName>
    <definedName name="Approach_Concrete_Barrier_B">'[19]Cost Estimate'!#REF!</definedName>
    <definedName name="Approach_Concrete_Barrier_C" localSheetId="1">[17]ค่างานต้นทุนต่อหน่วย!#REF!</definedName>
    <definedName name="Approach_Concrete_Barrier_C" localSheetId="30">[17]ค่างานต้นทุนต่อหน่วย!#REF!</definedName>
    <definedName name="Approach_Concrete_Barrier_C">'[19]Cost Estimate'!#REF!</definedName>
    <definedName name="Approach_Concrete_Barrier_D" localSheetId="1">[17]ค่างานต้นทุนต่อหน่วย!#REF!</definedName>
    <definedName name="Approach_Concrete_Barrier_D" localSheetId="30">[17]ค่างานต้นทุนต่อหน่วย!#REF!</definedName>
    <definedName name="Approach_Concrete_Barrier_D">'[19]Cost Estimate'!#REF!</definedName>
    <definedName name="Approach_Concrete_Barrier_E" localSheetId="1">[17]ค่างานต้นทุนต่อหน่วย!#REF!</definedName>
    <definedName name="Approach_Concrete_Barrier_E" localSheetId="30">[17]ค่างานต้นทุนต่อหน่วย!#REF!</definedName>
    <definedName name="Approach_Concrete_Barrier_E">'[19]Cost Estimate'!#REF!</definedName>
    <definedName name="Asphalt_Con_Layer" localSheetId="1">[17]ค่างานต้นทุนต่อหน่วย!#REF!</definedName>
    <definedName name="Asphalt_Con_Layer" localSheetId="30">[17]ค่างานต้นทุนต่อหน่วย!#REF!</definedName>
    <definedName name="Asphalt_Con_Layer">'[19]Cost Estimate'!#REF!</definedName>
    <definedName name="Asphalt_Con_Layer_C" localSheetId="1">[17]ค่างานต้นทุนต่อหน่วย!#REF!</definedName>
    <definedName name="Asphalt_Con_Layer_C" localSheetId="30">[17]ค่างานต้นทุนต่อหน่วย!#REF!</definedName>
    <definedName name="Asphalt_Con_Layer_C">'[19]Cost Estimate'!#REF!</definedName>
    <definedName name="Asphalt_Con_Leveling" localSheetId="1">[17]ค่างานต้นทุนต่อหน่วย!#REF!</definedName>
    <definedName name="Asphalt_Con_Leveling" localSheetId="30">[17]ค่างานต้นทุนต่อหน่วย!#REF!</definedName>
    <definedName name="Asphalt_Con_Leveling">'[19]Cost Estimate'!#REF!</definedName>
    <definedName name="Asphalt_Con_Leveling_C" localSheetId="1">[17]ค่างานต้นทุนต่อหน่วย!#REF!</definedName>
    <definedName name="Asphalt_Con_Leveling_C" localSheetId="30">[17]ค่างานต้นทุนต่อหน่วย!#REF!</definedName>
    <definedName name="Asphalt_Con_Leveling_C">'[19]Cost Estimate'!#REF!</definedName>
    <definedName name="Asphalt_Con_PreLeveling" localSheetId="1">[17]ค่างานต้นทุนต่อหน่วย!#REF!</definedName>
    <definedName name="Asphalt_Con_PreLeveling" localSheetId="30">[17]ค่างานต้นทุนต่อหน่วย!#REF!</definedName>
    <definedName name="Asphalt_Con_PreLeveling">'[19]Cost Estimate'!#REF!</definedName>
    <definedName name="Asphalt_Con_PreLeveling_C" localSheetId="1">[17]ค่างานต้นทุนต่อหน่วย!#REF!</definedName>
    <definedName name="Asphalt_Con_PreLeveling_C" localSheetId="30">[17]ค่างานต้นทุนต่อหน่วย!#REF!</definedName>
    <definedName name="Asphalt_Con_PreLeveling_C">'[19]Cost Estimate'!#REF!</definedName>
    <definedName name="Asphalt_Concrete_Binder" localSheetId="1">[17]ค่างานต้นทุนต่อหน่วย!#REF!</definedName>
    <definedName name="Asphalt_Concrete_Binder" localSheetId="30">[17]ค่างานต้นทุนต่อหน่วย!#REF!</definedName>
    <definedName name="Asphalt_Concrete_Binder">'[19]Cost Estimate'!#REF!</definedName>
    <definedName name="Asphalt_Concrete_Binder_C" localSheetId="1">[17]ค่างานต้นทุนต่อหน่วย!#REF!</definedName>
    <definedName name="Asphalt_Concrete_Binder_C" localSheetId="30">[17]ค่างานต้นทุนต่อหน่วย!#REF!</definedName>
    <definedName name="Asphalt_Concrete_Binder_C">'[19]Cost Estimate'!#REF!</definedName>
    <definedName name="Asphalt_Concrete_Wearing" localSheetId="1">[17]ค่างานต้นทุนต่อหน่วย!#REF!</definedName>
    <definedName name="Asphalt_Concrete_Wearing" localSheetId="30">[17]ค่างานต้นทุนต่อหน่วย!#REF!</definedName>
    <definedName name="Asphalt_Concrete_Wearing">'[19]Cost Estimate'!#REF!</definedName>
    <definedName name="Asphalt_Concrete_Wearing_C" localSheetId="1">[17]ค่างานต้นทุนต่อหน่วย!#REF!</definedName>
    <definedName name="Asphalt_Concrete_Wearing_C" localSheetId="30">[17]ค่างานต้นทุนต่อหน่วย!#REF!</definedName>
    <definedName name="Asphalt_Concrete_Wearing_C">'[19]Cost Estimate'!#REF!</definedName>
    <definedName name="AT" localSheetId="0">#REF!</definedName>
    <definedName name="AT" localSheetId="1">#REF!</definedName>
    <definedName name="AT" localSheetId="30">#REF!</definedName>
    <definedName name="AT" localSheetId="14">#REF!</definedName>
    <definedName name="AT" localSheetId="16">#REF!</definedName>
    <definedName name="AT" localSheetId="7">#REF!</definedName>
    <definedName name="AT" localSheetId="8">#REF!</definedName>
    <definedName name="AT" localSheetId="9">#REF!</definedName>
    <definedName name="AT" localSheetId="10">#REF!</definedName>
    <definedName name="AT" localSheetId="19">#REF!</definedName>
    <definedName name="AT" localSheetId="20">#REF!</definedName>
    <definedName name="AT" localSheetId="6">#REF!</definedName>
    <definedName name="AT" localSheetId="11">#REF!</definedName>
    <definedName name="AT" localSheetId="12">#REF!</definedName>
    <definedName name="AT" localSheetId="13">#REF!</definedName>
    <definedName name="AT">#REF!</definedName>
    <definedName name="AV.SP">[9]ค่าขนส่ง!$AE$29</definedName>
    <definedName name="av.spa">[20]หกล้อขนส่ง!$AG$27</definedName>
    <definedName name="av1.sp">[9]ค่าขนส่งด้วยรถพ่วง!$S$33</definedName>
    <definedName name="Aจำนวนชุดcon">[18]ตารางปริมาณงาน!$N$78</definedName>
    <definedName name="AจำนวนชุดExpan">[18]ตารางปริมาณงาน!$K$78</definedName>
    <definedName name="Aถางป่าขุดตอ">[18]ตารางปริมาณงาน!#REF!</definedName>
    <definedName name="Aทรายรองพื้น">[18]ตารางปริมาณงาน!#REF!</definedName>
    <definedName name="AปริมาณAC">[18]ตารางปริมาณงาน!$H$75</definedName>
    <definedName name="Aปริมาณงานคสลตรม">[18]ตารางปริมาณงาน!$D$78</definedName>
    <definedName name="Aพื้นทางหินคลุก">[18]ตารางปริมาณงาน!#REF!</definedName>
    <definedName name="Aรองพื้นทาง">[18]ตารางปริมาณงาน!#REF!</definedName>
    <definedName name="Aวัสดุคัดเลือก">[18]ตารางปริมาณงาน!#REF!</definedName>
    <definedName name="Aวัสดุดินถม">[18]ตารางปริมาณงาน!#REF!</definedName>
    <definedName name="Aหยอดยางcon">[18]ตารางปริมาณงาน!$S$77</definedName>
    <definedName name="AหยอดยางExpan">[18]ตารางปริมาณงาน!$S$74</definedName>
    <definedName name="Aหยอดยางlong">[18]ตารางปริมาณงาน!$S$80</definedName>
    <definedName name="Aไหล่ทางลูกรัง">[18]ตารางปริมาณงาน!#REF!</definedName>
    <definedName name="Aไหล่ทางหินคลุก">[18]ตารางปริมาณงาน!#REF!</definedName>
    <definedName name="B" localSheetId="1">#REF!</definedName>
    <definedName name="B" localSheetId="30">#REF!</definedName>
    <definedName name="B\CUM1KM" localSheetId="1">[8]Sheet1!$CR$226</definedName>
    <definedName name="B\CUM1KM" localSheetId="30">[8]Sheet1!$CR$226</definedName>
    <definedName name="B\CUM1KM">[4]Form1!$CJ$168</definedName>
    <definedName name="B\CUM200KM" localSheetId="1">[8]Sheet1!$CT$226</definedName>
    <definedName name="B\CUM200KM" localSheetId="30">[8]Sheet1!$CT$226</definedName>
    <definedName name="B\CUM200KM">[4]Form1!$CL$168</definedName>
    <definedName name="B\TON1KM" localSheetId="1">[8]Sheet1!$CR$225</definedName>
    <definedName name="B\TON1KM" localSheetId="30">[8]Sheet1!$CR$225</definedName>
    <definedName name="B\TON1KM">[4]Form1!$CJ$167</definedName>
    <definedName name="B\TON200KM" localSheetId="1">[3]Form1!$CL$167</definedName>
    <definedName name="B\TON200KM" localSheetId="30">[3]Form1!$CL$167</definedName>
    <definedName name="B\TON200KM">[4]Form1!$CL$167</definedName>
    <definedName name="BA" localSheetId="1">#REF!</definedName>
    <definedName name="BA" localSheetId="30">#REF!</definedName>
    <definedName name="Barrier_Curb" localSheetId="1">[17]ค่างานต้นทุนต่อหน่วย!#REF!</definedName>
    <definedName name="Barrier_Curb" localSheetId="30">[17]ค่างานต้นทุนต่อหน่วย!#REF!</definedName>
    <definedName name="Barrier_Curb">'[19]Cost Estimate'!#REF!</definedName>
    <definedName name="BarrierCurbGutter" localSheetId="1">[17]ค่างานต้นทุนต่อหน่วย!#REF!</definedName>
    <definedName name="BarrierCurbGutter" localSheetId="30">[17]ค่างานต้นทุนต่อหน่วย!#REF!</definedName>
    <definedName name="BarrierCurbGutter">'[19]Cost Estimate'!#REF!</definedName>
    <definedName name="Base_Scarify" localSheetId="1">[17]ค่างานต้นทุนต่อหน่วย!#REF!</definedName>
    <definedName name="Base_Scarify" localSheetId="30">[17]ค่างานต้นทุนต่อหน่วย!#REF!</definedName>
    <definedName name="Base_Scarify">'[19]Cost Estimate'!#REF!</definedName>
    <definedName name="bb" localSheetId="1">'[11]10 ข้อมูลวัสดุ-ค่าดำเนิน'!$X$19</definedName>
    <definedName name="bb" localSheetId="30">'[11]10 ข้อมูลวัสดุ-ค่าดำเนิน'!$X$19</definedName>
    <definedName name="bb">'[12]10 ข้อมูลวัสดุ-ค่าดำเนิน'!$X$19</definedName>
    <definedName name="Bcon">[18]ตารางปริมาณงาน!$N$92</definedName>
    <definedName name="BD">[9]ค่าขนส่งด้วยหกล้อ!$BI$22</definedName>
    <definedName name="BD." localSheetId="1">#REF!</definedName>
    <definedName name="BD." localSheetId="30">#REF!</definedName>
    <definedName name="ben" localSheetId="1">[7]ค่างานต้นทุน!$H$11</definedName>
    <definedName name="ben" localSheetId="30">[7]ค่างานต้นทุน!$H$11</definedName>
    <definedName name="ben">[6]ค่างานต้นทุน!$H$11</definedName>
    <definedName name="Bexpan">[18]ตารางปริมาณงาน!$K$92</definedName>
    <definedName name="BG" localSheetId="1">#REF!</definedName>
    <definedName name="BG" localSheetId="30">#REF!</definedName>
    <definedName name="BL" localSheetId="1">#REF!</definedName>
    <definedName name="BL" localSheetId="30">#REF!</definedName>
    <definedName name="BlockSodding" localSheetId="1">[17]ค่างานต้นทุนต่อหน่วย!#REF!</definedName>
    <definedName name="BlockSodding" localSheetId="30">[17]ค่างานต้นทุนต่อหน่วย!#REF!</definedName>
    <definedName name="BlockSodding">'[19]Cost Estimate'!#REF!</definedName>
    <definedName name="BlockType" localSheetId="1">[8]Sheet1!$A$122</definedName>
    <definedName name="BlockType" localSheetId="30">[8]Sheet1!$A$122</definedName>
    <definedName name="BlockType">[4]Form1!$A$117</definedName>
    <definedName name="Blong">[18]ตารางปริมาณงาน!$Q$95</definedName>
    <definedName name="Bm" localSheetId="1">#REF!</definedName>
    <definedName name="Bm" localSheetId="30">#REF!</definedName>
    <definedName name="BOne" localSheetId="1">#REF!</definedName>
    <definedName name="BOne" localSheetId="30">#REF!</definedName>
    <definedName name="bot_slab_thk" localSheetId="0">#REF!</definedName>
    <definedName name="bot_slab_thk" localSheetId="1">#REF!</definedName>
    <definedName name="bot_slab_thk" localSheetId="30">#REF!</definedName>
    <definedName name="bot_slab_thk" localSheetId="14">#REF!</definedName>
    <definedName name="bot_slab_thk" localSheetId="16">#REF!</definedName>
    <definedName name="bot_slab_thk" localSheetId="7">#REF!</definedName>
    <definedName name="bot_slab_thk" localSheetId="8">#REF!</definedName>
    <definedName name="bot_slab_thk" localSheetId="9">#REF!</definedName>
    <definedName name="bot_slab_thk" localSheetId="10">#REF!</definedName>
    <definedName name="bot_slab_thk" localSheetId="19">#REF!</definedName>
    <definedName name="bot_slab_thk" localSheetId="20">#REF!</definedName>
    <definedName name="bot_slab_thk" localSheetId="6">#REF!</definedName>
    <definedName name="bot_slab_thk" localSheetId="11">#REF!</definedName>
    <definedName name="bot_slab_thk" localSheetId="12">#REF!</definedName>
    <definedName name="bot_slab_thk" localSheetId="13">#REF!</definedName>
    <definedName name="bot_slab_thk">#REF!</definedName>
    <definedName name="BoxSideTwo1" localSheetId="1">[8]Sheet1!$L$195</definedName>
    <definedName name="BoxSideTwo1" localSheetId="30">[8]Sheet1!$L$195</definedName>
    <definedName name="BoxSideTwo1">[4]Form1!$L$192</definedName>
    <definedName name="BoxSideTwo2" localSheetId="1">[8]Sheet1!$L$196</definedName>
    <definedName name="BoxSideTwo2" localSheetId="30">[8]Sheet1!$L$196</definedName>
    <definedName name="BoxSideTwo2">[4]Form1!$L$193</definedName>
    <definedName name="BoxSideTwo3" localSheetId="1">[8]Sheet1!$L$197</definedName>
    <definedName name="BoxSideTwo3" localSheetId="30">[8]Sheet1!$L$197</definedName>
    <definedName name="BoxSideTwo3">[4]Form1!$L$194</definedName>
    <definedName name="BoxSideTwo4" localSheetId="1">[8]Sheet1!$L$198</definedName>
    <definedName name="BoxSideTwo4" localSheetId="30">[8]Sheet1!$L$198</definedName>
    <definedName name="BoxSideTwo4">[4]Form1!$L$195</definedName>
    <definedName name="BR" localSheetId="1">#REF!</definedName>
    <definedName name="BR" localSheetId="30">#REF!</definedName>
    <definedName name="BridgeWidening1" localSheetId="1">[17]ค่างานต้นทุนต่อหน่วย!#REF!</definedName>
    <definedName name="BridgeWidening1" localSheetId="30">[17]ค่างานต้นทุนต่อหน่วย!#REF!</definedName>
    <definedName name="BridgeWidening1">'[19]Cost Estimate'!#REF!</definedName>
    <definedName name="BridgeWidening2" localSheetId="1">[17]ค่างานต้นทุนต่อหน่วย!#REF!</definedName>
    <definedName name="BridgeWidening2" localSheetId="30">[17]ค่างานต้นทุนต่อหน่วย!#REF!</definedName>
    <definedName name="BridgeWidening2">'[19]Cost Estimate'!#REF!</definedName>
    <definedName name="BridgeWidening3" localSheetId="1">[17]ค่างานต้นทุนต่อหน่วย!#REF!</definedName>
    <definedName name="BridgeWidening3" localSheetId="30">[17]ค่างานต้นทุนต่อหน่วย!#REF!</definedName>
    <definedName name="BridgeWidening3">'[19]Cost Estimate'!#REF!</definedName>
    <definedName name="BridgeWidening4" localSheetId="1">[17]ค่างานต้นทุนต่อหน่วย!#REF!</definedName>
    <definedName name="BridgeWidening4" localSheetId="30">[17]ค่างานต้นทุนต่อหน่วย!#REF!</definedName>
    <definedName name="BridgeWidening4">'[19]Cost Estimate'!#REF!</definedName>
    <definedName name="bu" localSheetId="1">#REF!</definedName>
    <definedName name="bu" localSheetId="30">#REF!</definedName>
    <definedName name="BU." localSheetId="1">#REF!</definedName>
    <definedName name="BU." localSheetId="30">#REF!</definedName>
    <definedName name="BusStopA" localSheetId="1">[17]ค่างานต้นทุนต่อหน่วย!#REF!</definedName>
    <definedName name="BusStopA" localSheetId="30">[17]ค่างานต้นทุนต่อหน่วย!#REF!</definedName>
    <definedName name="BusStopA">'[19]Cost Estimate'!#REF!</definedName>
    <definedName name="BusStopB" localSheetId="1">[17]ค่างานต้นทุนต่อหน่วย!#REF!</definedName>
    <definedName name="BusStopB" localSheetId="30">[17]ค่างานต้นทุนต่อหน่วย!#REF!</definedName>
    <definedName name="BusStopB">'[19]Cost Estimate'!#REF!</definedName>
    <definedName name="BusStopC" localSheetId="1">[17]ค่างานต้นทุนต่อหน่วย!#REF!</definedName>
    <definedName name="BusStopC" localSheetId="30">[17]ค่างานต้นทุนต่อหน่วย!#REF!</definedName>
    <definedName name="BusStopC">'[19]Cost Estimate'!#REF!</definedName>
    <definedName name="BusStopD" localSheetId="1">[17]ค่างานต้นทุนต่อหน่วย!#REF!</definedName>
    <definedName name="BusStopD" localSheetId="30">[17]ค่างานต้นทุนต่อหน่วย!#REF!</definedName>
    <definedName name="BusStopD">'[19]Cost Estimate'!#REF!</definedName>
    <definedName name="BusStopE" localSheetId="1">[17]ค่างานต้นทุนต่อหน่วย!#REF!</definedName>
    <definedName name="BusStopE" localSheetId="30">[17]ค่างานต้นทุนต่อหน่วย!#REF!</definedName>
    <definedName name="BusStopE">'[19]Cost Estimate'!#REF!</definedName>
    <definedName name="BusStopF" localSheetId="1">[17]ค่างานต้นทุนต่อหน่วย!#REF!</definedName>
    <definedName name="BusStopF" localSheetId="30">[17]ค่างานต้นทุนต่อหน่วย!#REF!</definedName>
    <definedName name="BusStopF">'[19]Cost Estimate'!#REF!</definedName>
    <definedName name="BusStopIndex" localSheetId="1">[8]Sheet1!$V$186</definedName>
    <definedName name="BusStopIndex" localSheetId="30">[8]Sheet1!$V$186</definedName>
    <definedName name="BusStopIndex">[4]Form1!$V$186</definedName>
    <definedName name="BZ" localSheetId="0">#REF!</definedName>
    <definedName name="BZ" localSheetId="1">#REF!</definedName>
    <definedName name="BZ" localSheetId="30">#REF!</definedName>
    <definedName name="BZ" localSheetId="14">#REF!</definedName>
    <definedName name="BZ" localSheetId="16">#REF!</definedName>
    <definedName name="BZ" localSheetId="7">#REF!</definedName>
    <definedName name="BZ" localSheetId="8">#REF!</definedName>
    <definedName name="BZ" localSheetId="9">#REF!</definedName>
    <definedName name="BZ" localSheetId="10">#REF!</definedName>
    <definedName name="BZ" localSheetId="19">#REF!</definedName>
    <definedName name="BZ" localSheetId="20">#REF!</definedName>
    <definedName name="BZ" localSheetId="6">#REF!</definedName>
    <definedName name="BZ" localSheetId="11">#REF!</definedName>
    <definedName name="BZ" localSheetId="12">#REF!</definedName>
    <definedName name="BZ" localSheetId="13">#REF!</definedName>
    <definedName name="BZ">#REF!</definedName>
    <definedName name="Bจำนวนชุดcon">[18]ตารางปริมาณงาน!$N$93</definedName>
    <definedName name="Bจำนวนชุดexpan">[18]ตารางปริมาณงาน!$K$93</definedName>
    <definedName name="BปริมาณACตรม">[18]ตารางปริมาณงาน!$H$90</definedName>
    <definedName name="Bปริมาณงานคสลตรม">[18]ตารางปริมาณงาน!$D$93</definedName>
    <definedName name="Bหยอดยางcon">[18]ตารางปริมาณงาน!$S$92</definedName>
    <definedName name="Bหยอดยางexpan">[18]ตารางปริมาณงาน!$S$89</definedName>
    <definedName name="Bหยอดยางlong">[18]ตารางปริมาณงาน!$S$97</definedName>
    <definedName name="c." localSheetId="1">#REF!</definedName>
    <definedName name="c." localSheetId="30">#REF!</definedName>
    <definedName name="capbeam" localSheetId="1">[21]ข้อมูลคำนวณ1!$C$51</definedName>
    <definedName name="capbeam" localSheetId="30">[21]ข้อมูลคำนวณ1!$C$51</definedName>
    <definedName name="capbeam">[22]ข้อมูลคำนวณ1!$C$51</definedName>
    <definedName name="CapeSeal" localSheetId="1">[17]ค่างานต้นทุนต่อหน่วย!#REF!</definedName>
    <definedName name="CapeSeal" localSheetId="30">[17]ค่างานต้นทุนต่อหน่วย!#REF!</definedName>
    <definedName name="CapeSeal">'[19]Cost Estimate'!#REF!</definedName>
    <definedName name="Catch_Basin_RC_Cover" localSheetId="1">[17]ค่างานต้นทุนต่อหน่วย!#REF!</definedName>
    <definedName name="Catch_Basin_RC_Cover" localSheetId="30">[17]ค่างานต้นทุนต่อหน่วย!#REF!</definedName>
    <definedName name="Catch_Basin_RC_Cover">'[19]Cost Estimate'!#REF!</definedName>
    <definedName name="Catch_Basin_Steel_Cover" localSheetId="1">[17]ค่างานต้นทุนต่อหน่วย!#REF!</definedName>
    <definedName name="Catch_Basin_Steel_Cover" localSheetId="30">[17]ค่างานต้นทุนต่อหน่วย!#REF!</definedName>
    <definedName name="Catch_Basin_Steel_Cover">'[19]Cost Estimate'!#REF!</definedName>
    <definedName name="CB" localSheetId="1">'[21]Multi_Box 1'!$G$103</definedName>
    <definedName name="CB" localSheetId="30">'[21]Multi_Box 1'!$G$103</definedName>
    <definedName name="CB">'[22]Multi_Box 1'!$G$103</definedName>
    <definedName name="Ccon">[18]ตารางปริมาณงาน!$N$107</definedName>
    <definedName name="ce" localSheetId="0">#REF!</definedName>
    <definedName name="ce" localSheetId="1">#REF!</definedName>
    <definedName name="ce" localSheetId="30">#REF!</definedName>
    <definedName name="ce" localSheetId="14">#REF!</definedName>
    <definedName name="ce" localSheetId="16">#REF!</definedName>
    <definedName name="ce" localSheetId="7">#REF!</definedName>
    <definedName name="ce" localSheetId="8">#REF!</definedName>
    <definedName name="ce" localSheetId="9">#REF!</definedName>
    <definedName name="ce" localSheetId="10">#REF!</definedName>
    <definedName name="ce" localSheetId="19">#REF!</definedName>
    <definedName name="ce" localSheetId="20">#REF!</definedName>
    <definedName name="ce" localSheetId="6">#REF!</definedName>
    <definedName name="ce" localSheetId="11">#REF!</definedName>
    <definedName name="ce" localSheetId="12">#REF!</definedName>
    <definedName name="ce" localSheetId="13">#REF!</definedName>
    <definedName name="ce">#REF!</definedName>
    <definedName name="CellDepth1" localSheetId="1">[8]Sheet1!$ED$223</definedName>
    <definedName name="CellDepth1" localSheetId="30">[8]Sheet1!$ED$223</definedName>
    <definedName name="CellDepth1">[4]Form1!$AS$78</definedName>
    <definedName name="CellDepth2" localSheetId="1">[8]Sheet1!$ED$233</definedName>
    <definedName name="CellDepth2" localSheetId="30">[8]Sheet1!$ED$233</definedName>
    <definedName name="CellDepth2">[4]Form1!$AS$88</definedName>
    <definedName name="CellDepth3" localSheetId="1">[8]Sheet1!$ED$242</definedName>
    <definedName name="CellDepth3" localSheetId="30">[8]Sheet1!$ED$242</definedName>
    <definedName name="CellDepth3">[4]Form1!$AS$97</definedName>
    <definedName name="CellDepth4" localSheetId="1">[8]Sheet1!$ED$251</definedName>
    <definedName name="CellDepth4" localSheetId="30">[8]Sheet1!$ED$251</definedName>
    <definedName name="CellDepth4">[4]Form1!$AS$106</definedName>
    <definedName name="CellNum1" localSheetId="1">[8]Sheet1!$EE$223</definedName>
    <definedName name="CellNum1" localSheetId="30">[8]Sheet1!$EE$223</definedName>
    <definedName name="CellNum1">[4]Form1!$AT$78</definedName>
    <definedName name="CellNum2" localSheetId="1">[8]Sheet1!$EE$233</definedName>
    <definedName name="CellNum2" localSheetId="30">[8]Sheet1!$EE$233</definedName>
    <definedName name="CellNum2">[4]Form1!$AT$88</definedName>
    <definedName name="CellNum3" localSheetId="1">[8]Sheet1!$EE$242</definedName>
    <definedName name="CellNum3" localSheetId="30">[8]Sheet1!$EE$242</definedName>
    <definedName name="CellNum3">[4]Form1!$AT$97</definedName>
    <definedName name="CellNum4" localSheetId="1">[8]Sheet1!$EE$251</definedName>
    <definedName name="CellNum4" localSheetId="30">[8]Sheet1!$EE$251</definedName>
    <definedName name="CellNum4">[4]Form1!$AT$106</definedName>
    <definedName name="CellWidth1" localSheetId="1">[8]Sheet1!$EC$223</definedName>
    <definedName name="CellWidth1" localSheetId="30">[8]Sheet1!$EC$223</definedName>
    <definedName name="CellWidth1">[4]Form1!$AR$78</definedName>
    <definedName name="CellWidth2" localSheetId="1">[8]Sheet1!$EC$233</definedName>
    <definedName name="CellWidth2" localSheetId="30">[8]Sheet1!$EC$233</definedName>
    <definedName name="CellWidth2">[4]Form1!$AR$88</definedName>
    <definedName name="CellWidth3" localSheetId="1">[8]Sheet1!$EC$242</definedName>
    <definedName name="CellWidth3" localSheetId="30">[8]Sheet1!$EC$242</definedName>
    <definedName name="CellWidth3">[4]Form1!$AR$97</definedName>
    <definedName name="CellWidth4" localSheetId="1">[8]Sheet1!$EC$251</definedName>
    <definedName name="CellWidth4" localSheetId="30">[8]Sheet1!$EC$251</definedName>
    <definedName name="CellWidth4">[4]Form1!$AR$106</definedName>
    <definedName name="Cement" localSheetId="1">[23]สรุปข้อมูลประมาณราคา!$N$29</definedName>
    <definedName name="Cement" localSheetId="30">[23]สรุปข้อมูลประมาณราคา!$N$29</definedName>
    <definedName name="Cement">[24]สรุปข้อมูลประมาณราคา!$N$29</definedName>
    <definedName name="Cexpan">[18]ตารางปริมาณงาน!$K$107</definedName>
    <definedName name="Chatter_BarBi" localSheetId="1">[17]ค่างานต้นทุนต่อหน่วย!#REF!</definedName>
    <definedName name="Chatter_BarBi" localSheetId="30">[17]ค่างานต้นทุนต่อหน่วย!#REF!</definedName>
    <definedName name="Chatter_BarBi">'[19]Cost Estimate'!#REF!</definedName>
    <definedName name="Chatter_BarUni" localSheetId="1">[17]ค่างานต้นทุนต่อหน่วย!#REF!</definedName>
    <definedName name="Chatter_BarUni" localSheetId="30">[17]ค่างานต้นทุนต่อหน่วย!#REF!</definedName>
    <definedName name="Chatter_BarUni">'[19]Cost Estimate'!#REF!</definedName>
    <definedName name="Clearing" localSheetId="0">#REF!</definedName>
    <definedName name="Clearing" localSheetId="1">[17]ค่างานต้นทุนต่อหน่วย!#REF!</definedName>
    <definedName name="Clearing" localSheetId="30">[17]ค่างานต้นทุนต่อหน่วย!#REF!</definedName>
    <definedName name="Clearing" localSheetId="14">#REF!</definedName>
    <definedName name="Clearing" localSheetId="16">#REF!</definedName>
    <definedName name="Clearing" localSheetId="7">#REF!</definedName>
    <definedName name="Clearing" localSheetId="8">#REF!</definedName>
    <definedName name="Clearing" localSheetId="9">#REF!</definedName>
    <definedName name="Clearing" localSheetId="10">#REF!</definedName>
    <definedName name="Clearing" localSheetId="19">#REF!</definedName>
    <definedName name="Clearing" localSheetId="20">#REF!</definedName>
    <definedName name="Clearing" localSheetId="6">#REF!</definedName>
    <definedName name="Clearing" localSheetId="11">#REF!</definedName>
    <definedName name="Clearing" localSheetId="12">#REF!</definedName>
    <definedName name="Clearing" localSheetId="13">#REF!</definedName>
    <definedName name="Clearing">#REF!</definedName>
    <definedName name="Clong">[18]ตารางปริมาณงาน!$Q$110</definedName>
    <definedName name="ColumnIndexNo" localSheetId="1">[8]Sheet1!$CM$225</definedName>
    <definedName name="ColumnIndexNo" localSheetId="30">[8]Sheet1!$CM$225</definedName>
    <definedName name="ColumnIndexNo" localSheetId="29">[25]Form1!$CM$225</definedName>
    <definedName name="ColumnIndexNo">[26]Form1!$CM$225</definedName>
    <definedName name="con" localSheetId="0">#REF!</definedName>
    <definedName name="con" localSheetId="1">#REF!</definedName>
    <definedName name="con" localSheetId="30">#REF!</definedName>
    <definedName name="con" localSheetId="14">#REF!</definedName>
    <definedName name="con" localSheetId="16">#REF!</definedName>
    <definedName name="con" localSheetId="7">#REF!</definedName>
    <definedName name="con" localSheetId="8">#REF!</definedName>
    <definedName name="con" localSheetId="9">#REF!</definedName>
    <definedName name="con" localSheetId="10">#REF!</definedName>
    <definedName name="con" localSheetId="19">#REF!</definedName>
    <definedName name="con" localSheetId="20">#REF!</definedName>
    <definedName name="con" localSheetId="6">#REF!</definedName>
    <definedName name="con" localSheetId="11">#REF!</definedName>
    <definedName name="con" localSheetId="12">#REF!</definedName>
    <definedName name="con" localSheetId="13">#REF!</definedName>
    <definedName name="con">#REF!</definedName>
    <definedName name="Conc_Headwall_1_100" localSheetId="1">[17]ค่างานต้นทุนต่อหน่วย!#REF!</definedName>
    <definedName name="Conc_Headwall_1_100" localSheetId="30">[17]ค่างานต้นทุนต่อหน่วย!#REF!</definedName>
    <definedName name="Conc_Headwall_1_100">'[19]Cost Estimate'!#REF!</definedName>
    <definedName name="Conc_Headwall_1_120" localSheetId="1">[17]ค่างานต้นทุนต่อหน่วย!#REF!</definedName>
    <definedName name="Conc_Headwall_1_120" localSheetId="30">[17]ค่างานต้นทุนต่อหน่วย!#REF!</definedName>
    <definedName name="Conc_Headwall_1_120">'[19]Cost Estimate'!#REF!</definedName>
    <definedName name="Conc_Headwall_1_60" localSheetId="1">[17]ค่างานต้นทุนต่อหน่วย!#REF!</definedName>
    <definedName name="Conc_Headwall_1_60" localSheetId="30">[17]ค่างานต้นทุนต่อหน่วย!#REF!</definedName>
    <definedName name="Conc_Headwall_1_60">'[19]Cost Estimate'!#REF!</definedName>
    <definedName name="Conc_Headwall_1_80" localSheetId="1">[17]ค่างานต้นทุนต่อหน่วย!#REF!</definedName>
    <definedName name="Conc_Headwall_1_80" localSheetId="30">[17]ค่างานต้นทุนต่อหน่วย!#REF!</definedName>
    <definedName name="Conc_Headwall_1_80">'[19]Cost Estimate'!#REF!</definedName>
    <definedName name="Conc_Headwall_2_100" localSheetId="1">[17]ค่างานต้นทุนต่อหน่วย!#REF!</definedName>
    <definedName name="Conc_Headwall_2_100" localSheetId="30">[17]ค่างานต้นทุนต่อหน่วย!#REF!</definedName>
    <definedName name="Conc_Headwall_2_100">'[19]Cost Estimate'!#REF!</definedName>
    <definedName name="Conc_Headwall_2_120" localSheetId="1">[17]ค่างานต้นทุนต่อหน่วย!#REF!</definedName>
    <definedName name="Conc_Headwall_2_120" localSheetId="30">[17]ค่างานต้นทุนต่อหน่วย!#REF!</definedName>
    <definedName name="Conc_Headwall_2_120">'[19]Cost Estimate'!#REF!</definedName>
    <definedName name="Conc_Headwall_2_60" localSheetId="1">[17]ค่างานต้นทุนต่อหน่วย!#REF!</definedName>
    <definedName name="Conc_Headwall_2_60" localSheetId="30">[17]ค่างานต้นทุนต่อหน่วย!#REF!</definedName>
    <definedName name="Conc_Headwall_2_60">'[19]Cost Estimate'!#REF!</definedName>
    <definedName name="Conc_Headwall_2_80" localSheetId="1">[17]ค่างานต้นทุนต่อหน่วย!#REF!</definedName>
    <definedName name="Conc_Headwall_2_80" localSheetId="30">[17]ค่างานต้นทุนต่อหน่วย!#REF!</definedName>
    <definedName name="Conc_Headwall_2_80">'[19]Cost Estimate'!#REF!</definedName>
    <definedName name="Conc_Headwall_3_100" localSheetId="1">[17]ค่างานต้นทุนต่อหน่วย!#REF!</definedName>
    <definedName name="Conc_Headwall_3_100" localSheetId="30">[17]ค่างานต้นทุนต่อหน่วย!#REF!</definedName>
    <definedName name="Conc_Headwall_3_100">'[19]Cost Estimate'!#REF!</definedName>
    <definedName name="Conc_Headwall_3_120" localSheetId="1">[17]ค่างานต้นทุนต่อหน่วย!#REF!</definedName>
    <definedName name="Conc_Headwall_3_120" localSheetId="30">[17]ค่างานต้นทุนต่อหน่วย!#REF!</definedName>
    <definedName name="Conc_Headwall_3_120">'[19]Cost Estimate'!#REF!</definedName>
    <definedName name="Conc_Headwall_3_60" localSheetId="1">[17]ค่างานต้นทุนต่อหน่วย!#REF!</definedName>
    <definedName name="Conc_Headwall_3_60" localSheetId="30">[17]ค่างานต้นทุนต่อหน่วย!#REF!</definedName>
    <definedName name="Conc_Headwall_3_60">'[19]Cost Estimate'!#REF!</definedName>
    <definedName name="Conc_Headwall_3_80" localSheetId="1">[17]ค่างานต้นทุนต่อหน่วย!#REF!</definedName>
    <definedName name="Conc_Headwall_3_80" localSheetId="30">[17]ค่างานต้นทุนต่อหน่วย!#REF!</definedName>
    <definedName name="Conc_Headwall_3_80">'[19]Cost Estimate'!#REF!</definedName>
    <definedName name="Conc_Intercept" localSheetId="1">[17]ค่างานต้นทุนต่อหน่วย!#REF!</definedName>
    <definedName name="Conc_Intercept" localSheetId="30">[17]ค่างานต้นทุนต่อหน่วย!#REF!</definedName>
    <definedName name="Conc_Intercept">'[19]Cost Estimate'!#REF!</definedName>
    <definedName name="ConcBoxEnd1" localSheetId="1">[8]Sheet1!$EC$224</definedName>
    <definedName name="ConcBoxEnd1" localSheetId="30">[8]Sheet1!$EC$224</definedName>
    <definedName name="ConcBoxEnd1">[4]Form1!$AR$79</definedName>
    <definedName name="ConcBoxEnd2" localSheetId="1">[8]Sheet1!$EC$234</definedName>
    <definedName name="ConcBoxEnd2" localSheetId="30">[8]Sheet1!$EC$234</definedName>
    <definedName name="ConcBoxEnd2">[4]Form1!$AR$89</definedName>
    <definedName name="ConcBoxEnd3" localSheetId="1">[8]Sheet1!$EC$243</definedName>
    <definedName name="ConcBoxEnd3" localSheetId="30">[8]Sheet1!$EC$243</definedName>
    <definedName name="ConcBoxEnd3">[4]Form1!$AR$98</definedName>
    <definedName name="ConcBoxEnd4" localSheetId="1">[8]Sheet1!$EC$252</definedName>
    <definedName name="ConcBoxEnd4" localSheetId="30">[8]Sheet1!$EC$252</definedName>
    <definedName name="ConcBoxEnd4">[4]Form1!$AR$107</definedName>
    <definedName name="ConcCoverBox" localSheetId="1">[8]Sheet1!$DW$223</definedName>
    <definedName name="ConcCoverBox" localSheetId="30">[8]Sheet1!$DW$223</definedName>
    <definedName name="ConcCoverBox">[4]Form1!$AL$78</definedName>
    <definedName name="Concrete_Barrier_Approach" localSheetId="1">[17]ค่างานต้นทุนต่อหน่วย!#REF!</definedName>
    <definedName name="Concrete_Barrier_Approach" localSheetId="30">[17]ค่างานต้นทุนต่อหน่วย!#REF!</definedName>
    <definedName name="Concrete_Barrier_Approach">'[19]Cost Estimate'!#REF!</definedName>
    <definedName name="Concrete_Barrier_I" localSheetId="1">[17]ค่างานต้นทุนต่อหน่วย!#REF!</definedName>
    <definedName name="Concrete_Barrier_I" localSheetId="30">[17]ค่างานต้นทุนต่อหน่วย!#REF!</definedName>
    <definedName name="Concrete_Barrier_I">'[19]Cost Estimate'!#REF!</definedName>
    <definedName name="Concrete_Barrier_I_for_DeepCut" localSheetId="1">[17]ค่างานต้นทุนต่อหน่วย!#REF!</definedName>
    <definedName name="Concrete_Barrier_I_for_DeepCut" localSheetId="30">[17]ค่างานต้นทุนต่อหน่วย!#REF!</definedName>
    <definedName name="Concrete_Barrier_I_for_DeepCut">'[19]Cost Estimate'!#REF!</definedName>
    <definedName name="Concrete_Barrier_II" localSheetId="1">[17]ค่างานต้นทุนต่อหน่วย!#REF!</definedName>
    <definedName name="Concrete_Barrier_II" localSheetId="30">[17]ค่างานต้นทุนต่อหน่วย!#REF!</definedName>
    <definedName name="Concrete_Barrier_II">'[19]Cost Estimate'!#REF!</definedName>
    <definedName name="Concrete_Pavement" localSheetId="0">#REF!</definedName>
    <definedName name="Concrete_Pavement" localSheetId="1">[17]ค่างานต้นทุนต่อหน่วย!#REF!</definedName>
    <definedName name="Concrete_Pavement" localSheetId="30">[17]ค่างานต้นทุนต่อหน่วย!#REF!</definedName>
    <definedName name="Concrete_Pavement" localSheetId="14">#REF!</definedName>
    <definedName name="Concrete_Pavement" localSheetId="16">#REF!</definedName>
    <definedName name="Concrete_Pavement" localSheetId="7">#REF!</definedName>
    <definedName name="Concrete_Pavement" localSheetId="8">#REF!</definedName>
    <definedName name="Concrete_Pavement" localSheetId="9">#REF!</definedName>
    <definedName name="Concrete_Pavement" localSheetId="10">#REF!</definedName>
    <definedName name="Concrete_Pavement" localSheetId="19">#REF!</definedName>
    <definedName name="Concrete_Pavement" localSheetId="20">#REF!</definedName>
    <definedName name="Concrete_Pavement" localSheetId="6">#REF!</definedName>
    <definedName name="Concrete_Pavement" localSheetId="11">#REF!</definedName>
    <definedName name="Concrete_Pavement" localSheetId="12">#REF!</definedName>
    <definedName name="Concrete_Pavement" localSheetId="13">#REF!</definedName>
    <definedName name="Concrete_Pavement">#REF!</definedName>
    <definedName name="Concrete_Slope" localSheetId="1">[17]ค่างานต้นทุนต่อหน่วย!#REF!</definedName>
    <definedName name="Concrete_Slope" localSheetId="30">[17]ค่างานต้นทุนต่อหน่วย!#REF!</definedName>
    <definedName name="Concrete_Slope">'[19]Cost Estimate'!#REF!</definedName>
    <definedName name="ConcreteBox1" localSheetId="1">[8]Sheet1!$EB$224</definedName>
    <definedName name="ConcreteBox1" localSheetId="30">[8]Sheet1!$EB$224</definedName>
    <definedName name="ConcreteBox1">[4]Form1!$AQ$79</definedName>
    <definedName name="ConcreteBox2" localSheetId="1">[8]Sheet1!$EB$234</definedName>
    <definedName name="ConcreteBox2" localSheetId="30">[8]Sheet1!$EB$234</definedName>
    <definedName name="ConcreteBox2">[4]Form1!$AQ$89</definedName>
    <definedName name="ConcreteBox3" localSheetId="1">[8]Sheet1!$EB$243</definedName>
    <definedName name="ConcreteBox3" localSheetId="30">[8]Sheet1!$EB$243</definedName>
    <definedName name="ConcreteBox3">[4]Form1!$AQ$98</definedName>
    <definedName name="ConcreteBox4" localSheetId="1">[8]Sheet1!$EB$252</definedName>
    <definedName name="ConcreteBox4" localSheetId="30">[8]Sheet1!$EB$252</definedName>
    <definedName name="ConcreteBox4">[4]Form1!$AQ$107</definedName>
    <definedName name="ConcretePavingBlock" localSheetId="1">[17]ค่างานต้นทุนต่อหน่วย!#REF!</definedName>
    <definedName name="ConcretePavingBlock" localSheetId="30">[17]ค่างานต้นทุนต่อหน่วย!#REF!</definedName>
    <definedName name="ConcretePavingBlock">'[19]Cost Estimate'!#REF!</definedName>
    <definedName name="ConcreteSlab7CM" localSheetId="1">[17]ค่างานต้นทุนต่อหน่วย!#REF!</definedName>
    <definedName name="ConcreteSlab7CM" localSheetId="30">[17]ค่างานต้นทุนต่อหน่วย!#REF!</definedName>
    <definedName name="ConcreteSlab7CM">'[19]Cost Estimate'!#REF!</definedName>
    <definedName name="ConcreteSlabBlock" localSheetId="1">[17]ค่างานต้นทุนต่อหน่วย!#REF!</definedName>
    <definedName name="ConcreteSlabBlock" localSheetId="30">[17]ค่างานต้นทุนต่อหน่วย!#REF!</definedName>
    <definedName name="ConcreteSlabBlock">'[19]Cost Estimate'!#REF!</definedName>
    <definedName name="Contraction_Joint" localSheetId="0">#REF!</definedName>
    <definedName name="Contraction_Joint" localSheetId="1">[17]ค่างานต้นทุนต่อหน่วย!#REF!</definedName>
    <definedName name="Contraction_Joint" localSheetId="30">[17]ค่างานต้นทุนต่อหน่วย!#REF!</definedName>
    <definedName name="Contraction_Joint" localSheetId="14">#REF!</definedName>
    <definedName name="Contraction_Joint" localSheetId="16">#REF!</definedName>
    <definedName name="Contraction_Joint" localSheetId="7">#REF!</definedName>
    <definedName name="Contraction_Joint" localSheetId="8">#REF!</definedName>
    <definedName name="Contraction_Joint" localSheetId="9">#REF!</definedName>
    <definedName name="Contraction_Joint" localSheetId="10">#REF!</definedName>
    <definedName name="Contraction_Joint" localSheetId="19">#REF!</definedName>
    <definedName name="Contraction_Joint" localSheetId="20">#REF!</definedName>
    <definedName name="Contraction_Joint" localSheetId="6">#REF!</definedName>
    <definedName name="Contraction_Joint" localSheetId="11">#REF!</definedName>
    <definedName name="Contraction_Joint" localSheetId="12">#REF!</definedName>
    <definedName name="Contraction_Joint" localSheetId="13">#REF!</definedName>
    <definedName name="Contraction_Joint">#REF!</definedName>
    <definedName name="CR" localSheetId="0">#REF!</definedName>
    <definedName name="CR" localSheetId="1">#REF!</definedName>
    <definedName name="CR" localSheetId="30">#REF!</definedName>
    <definedName name="CR" localSheetId="14">#REF!</definedName>
    <definedName name="CR" localSheetId="16">#REF!</definedName>
    <definedName name="CR" localSheetId="7">#REF!</definedName>
    <definedName name="CR" localSheetId="8">#REF!</definedName>
    <definedName name="CR" localSheetId="9">#REF!</definedName>
    <definedName name="CR" localSheetId="10">#REF!</definedName>
    <definedName name="CR" localSheetId="19">#REF!</definedName>
    <definedName name="CR" localSheetId="20">#REF!</definedName>
    <definedName name="CR" localSheetId="6">#REF!</definedName>
    <definedName name="CR" localSheetId="11">#REF!</definedName>
    <definedName name="CR" localSheetId="12">#REF!</definedName>
    <definedName name="CR" localSheetId="13">#REF!</definedName>
    <definedName name="CR">#REF!</definedName>
    <definedName name="Crush_Leveling" localSheetId="1">[17]ค่างานต้นทุนต่อหน่วย!#REF!</definedName>
    <definedName name="Crush_Leveling" localSheetId="30">[17]ค่างานต้นทุนต่อหน่วย!#REF!</definedName>
    <definedName name="Crush_Leveling">'[19]Cost Estimate'!#REF!</definedName>
    <definedName name="Crush_Rock_Base" localSheetId="1">[17]ค่างานต้นทุนต่อหน่วย!#REF!</definedName>
    <definedName name="Crush_Rock_Base" localSheetId="30">[17]ค่างานต้นทุนต่อหน่วย!#REF!</definedName>
    <definedName name="Crush_Rock_Base">'[19]Cost Estimate'!#REF!</definedName>
    <definedName name="cs" localSheetId="1">[7]ค่างานต้นทุน!$H$106</definedName>
    <definedName name="cs" localSheetId="30">[7]ค่างานต้นทุน!$H$106</definedName>
    <definedName name="cs">[6]ค่างานต้นทุน!$H$106</definedName>
    <definedName name="CT" localSheetId="0">#REF!</definedName>
    <definedName name="CT" localSheetId="1">#REF!</definedName>
    <definedName name="CT" localSheetId="30">#REF!</definedName>
    <definedName name="CT" localSheetId="14">#REF!</definedName>
    <definedName name="CT" localSheetId="16">#REF!</definedName>
    <definedName name="CT" localSheetId="7">#REF!</definedName>
    <definedName name="CT" localSheetId="8">#REF!</definedName>
    <definedName name="CT" localSheetId="9">#REF!</definedName>
    <definedName name="CT" localSheetId="10">#REF!</definedName>
    <definedName name="CT" localSheetId="19">#REF!</definedName>
    <definedName name="CT" localSheetId="20">#REF!</definedName>
    <definedName name="CT" localSheetId="6">#REF!</definedName>
    <definedName name="CT" localSheetId="11">#REF!</definedName>
    <definedName name="CT" localSheetId="12">#REF!</definedName>
    <definedName name="CT" localSheetId="13">#REF!</definedName>
    <definedName name="CT">#REF!</definedName>
    <definedName name="culv_wall_thk" localSheetId="0">#REF!</definedName>
    <definedName name="culv_wall_thk" localSheetId="1">#REF!</definedName>
    <definedName name="culv_wall_thk" localSheetId="30">#REF!</definedName>
    <definedName name="culv_wall_thk" localSheetId="14">#REF!</definedName>
    <definedName name="culv_wall_thk" localSheetId="16">#REF!</definedName>
    <definedName name="culv_wall_thk" localSheetId="7">#REF!</definedName>
    <definedName name="culv_wall_thk" localSheetId="8">#REF!</definedName>
    <definedName name="culv_wall_thk" localSheetId="9">#REF!</definedName>
    <definedName name="culv_wall_thk" localSheetId="10">#REF!</definedName>
    <definedName name="culv_wall_thk" localSheetId="19">#REF!</definedName>
    <definedName name="culv_wall_thk" localSheetId="20">#REF!</definedName>
    <definedName name="culv_wall_thk" localSheetId="6">#REF!</definedName>
    <definedName name="culv_wall_thk" localSheetId="11">#REF!</definedName>
    <definedName name="culv_wall_thk" localSheetId="12">#REF!</definedName>
    <definedName name="culv_wall_thk" localSheetId="13">#REF!</definedName>
    <definedName name="culv_wall_thk">#REF!</definedName>
    <definedName name="culv_width" localSheetId="0">#REF!</definedName>
    <definedName name="culv_width" localSheetId="1">#REF!</definedName>
    <definedName name="culv_width" localSheetId="30">#REF!</definedName>
    <definedName name="culv_width" localSheetId="14">#REF!</definedName>
    <definedName name="culv_width" localSheetId="16">#REF!</definedName>
    <definedName name="culv_width" localSheetId="7">#REF!</definedName>
    <definedName name="culv_width" localSheetId="8">#REF!</definedName>
    <definedName name="culv_width" localSheetId="9">#REF!</definedName>
    <definedName name="culv_width" localSheetId="10">#REF!</definedName>
    <definedName name="culv_width" localSheetId="19">#REF!</definedName>
    <definedName name="culv_width" localSheetId="20">#REF!</definedName>
    <definedName name="culv_width" localSheetId="6">#REF!</definedName>
    <definedName name="culv_width" localSheetId="11">#REF!</definedName>
    <definedName name="culv_width" localSheetId="12">#REF!</definedName>
    <definedName name="culv_width" localSheetId="13">#REF!</definedName>
    <definedName name="culv_width">#REF!</definedName>
    <definedName name="culvert_depth" localSheetId="0">#REF!</definedName>
    <definedName name="culvert_depth" localSheetId="1">#REF!</definedName>
    <definedName name="culvert_depth" localSheetId="30">#REF!</definedName>
    <definedName name="culvert_depth" localSheetId="14">#REF!</definedName>
    <definedName name="culvert_depth" localSheetId="16">#REF!</definedName>
    <definedName name="culvert_depth" localSheetId="7">#REF!</definedName>
    <definedName name="culvert_depth" localSheetId="8">#REF!</definedName>
    <definedName name="culvert_depth" localSheetId="9">#REF!</definedName>
    <definedName name="culvert_depth" localSheetId="10">#REF!</definedName>
    <definedName name="culvert_depth" localSheetId="19">#REF!</definedName>
    <definedName name="culvert_depth" localSheetId="20">#REF!</definedName>
    <definedName name="culvert_depth" localSheetId="6">#REF!</definedName>
    <definedName name="culvert_depth" localSheetId="11">#REF!</definedName>
    <definedName name="culvert_depth" localSheetId="12">#REF!</definedName>
    <definedName name="culvert_depth" localSheetId="13">#REF!</definedName>
    <definedName name="culvert_depth">#REF!</definedName>
    <definedName name="culvert_length" localSheetId="0">#REF!</definedName>
    <definedName name="culvert_length" localSheetId="1">#REF!</definedName>
    <definedName name="culvert_length" localSheetId="30">#REF!</definedName>
    <definedName name="culvert_length" localSheetId="14">#REF!</definedName>
    <definedName name="culvert_length" localSheetId="16">#REF!</definedName>
    <definedName name="culvert_length" localSheetId="7">#REF!</definedName>
    <definedName name="culvert_length" localSheetId="8">#REF!</definedName>
    <definedName name="culvert_length" localSheetId="9">#REF!</definedName>
    <definedName name="culvert_length" localSheetId="10">#REF!</definedName>
    <definedName name="culvert_length" localSheetId="19">#REF!</definedName>
    <definedName name="culvert_length" localSheetId="20">#REF!</definedName>
    <definedName name="culvert_length" localSheetId="6">#REF!</definedName>
    <definedName name="culvert_length" localSheetId="11">#REF!</definedName>
    <definedName name="culvert_length" localSheetId="12">#REF!</definedName>
    <definedName name="culvert_length" localSheetId="13">#REF!</definedName>
    <definedName name="culvert_length">#REF!</definedName>
    <definedName name="culvert_span" localSheetId="0">#REF!</definedName>
    <definedName name="culvert_span" localSheetId="1">#REF!</definedName>
    <definedName name="culvert_span" localSheetId="30">#REF!</definedName>
    <definedName name="culvert_span" localSheetId="14">#REF!</definedName>
    <definedName name="culvert_span" localSheetId="16">#REF!</definedName>
    <definedName name="culvert_span" localSheetId="7">#REF!</definedName>
    <definedName name="culvert_span" localSheetId="8">#REF!</definedName>
    <definedName name="culvert_span" localSheetId="9">#REF!</definedName>
    <definedName name="culvert_span" localSheetId="10">#REF!</definedName>
    <definedName name="culvert_span" localSheetId="19">#REF!</definedName>
    <definedName name="culvert_span" localSheetId="20">#REF!</definedName>
    <definedName name="culvert_span" localSheetId="6">#REF!</definedName>
    <definedName name="culvert_span" localSheetId="11">#REF!</definedName>
    <definedName name="culvert_span" localSheetId="12">#REF!</definedName>
    <definedName name="culvert_span" localSheetId="13">#REF!</definedName>
    <definedName name="culvert_span">#REF!</definedName>
    <definedName name="Curb_Marking" localSheetId="1">[17]ค่างานต้นทุนต่อหน่วย!#REF!</definedName>
    <definedName name="Curb_Marking" localSheetId="30">[17]ค่างานต้นทุนต่อหน่วย!#REF!</definedName>
    <definedName name="Curb_Marking">'[19]Cost Estimate'!#REF!</definedName>
    <definedName name="CurrentOil" localSheetId="1">[8]Sheet1!$H$5</definedName>
    <definedName name="CurrentOil" localSheetId="30">[8]Sheet1!$H$5</definedName>
    <definedName name="CurrentOil" localSheetId="29">[27]Sheet1!$H$5</definedName>
    <definedName name="CurrentOil">[25]Sheet1!$H$5</definedName>
    <definedName name="CV" localSheetId="0">#REF!</definedName>
    <definedName name="CV" localSheetId="1">#REF!</definedName>
    <definedName name="CV" localSheetId="30">#REF!</definedName>
    <definedName name="CV" localSheetId="14">#REF!</definedName>
    <definedName name="CV" localSheetId="16">#REF!</definedName>
    <definedName name="CV" localSheetId="7">#REF!</definedName>
    <definedName name="CV" localSheetId="8">#REF!</definedName>
    <definedName name="CV" localSheetId="9">#REF!</definedName>
    <definedName name="CV" localSheetId="10">#REF!</definedName>
    <definedName name="CV" localSheetId="19">#REF!</definedName>
    <definedName name="CV" localSheetId="20">#REF!</definedName>
    <definedName name="CV" localSheetId="6">#REF!</definedName>
    <definedName name="CV" localSheetId="11">#REF!</definedName>
    <definedName name="CV" localSheetId="12">#REF!</definedName>
    <definedName name="CV" localSheetId="13">#REF!</definedName>
    <definedName name="CV">#REF!</definedName>
    <definedName name="Cจำนวนชุดcon">[18]ตารางปริมาณงาน!$N$108</definedName>
    <definedName name="Cจำนวนชุดexpan">[18]ตารางปริมาณงาน!$K$108</definedName>
    <definedName name="CปริมาณACตรม">[18]ตารางปริมาณงาน!$H$105</definedName>
    <definedName name="Cปริมาณงานคสลตรม">[18]ตารางปริมาณงาน!$D$108</definedName>
    <definedName name="Cหยอดยางcon">[18]ตารางปริมาณงาน!$S$107</definedName>
    <definedName name="Cหยอดยางexpan">[18]ตารางปริมาณงาน!$S$104</definedName>
    <definedName name="Cหยอดยางlong">[18]ตารางปริมาณงาน!$S$112</definedName>
    <definedName name="D" localSheetId="1">#REF!</definedName>
    <definedName name="D" localSheetId="30">#REF!</definedName>
    <definedName name="D">[9]ค่างานต้นทุน!$H$119</definedName>
    <definedName name="Data" localSheetId="1">[21]ค่าเสื่อมราคา!$L$6:$DV$81</definedName>
    <definedName name="Data" localSheetId="30">[21]ค่าเสื่อมราคา!$L$6:$DV$81</definedName>
    <definedName name="Data">[22]ค่าเสื่อมราคา!$L$6:$DV$81</definedName>
    <definedName name="_xlnm.Database" localSheetId="0">#REF!</definedName>
    <definedName name="_xlnm.Database" localSheetId="1">#REF!</definedName>
    <definedName name="_xlnm.Database" localSheetId="30">#REF!</definedName>
    <definedName name="_xlnm.Database" localSheetId="14">#REF!</definedName>
    <definedName name="_xlnm.Database" localSheetId="1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>#REF!</definedName>
    <definedName name="DB_12" localSheetId="1">[28]ข้อมูลงานคอนกรีต!#REF!</definedName>
    <definedName name="DB_12" localSheetId="30">[28]ข้อมูลงานคอนกรีต!#REF!</definedName>
    <definedName name="DB_12">[19]ข้อมูลงานคอนกรีต!#REF!</definedName>
    <definedName name="DB_15" localSheetId="1">[28]ข้อมูลงานคอนกรีต!#REF!</definedName>
    <definedName name="DB_15" localSheetId="30">[28]ข้อมูลงานคอนกรีต!#REF!</definedName>
    <definedName name="DB_15">[19]ข้อมูลงานคอนกรีต!#REF!</definedName>
    <definedName name="DB_16" localSheetId="1">[28]ข้อมูลงานคอนกรีต!#REF!</definedName>
    <definedName name="DB_16" localSheetId="30">[28]ข้อมูลงานคอนกรีต!#REF!</definedName>
    <definedName name="DB_16">[19]ข้อมูลงานคอนกรีต!#REF!</definedName>
    <definedName name="DB_19" localSheetId="1">[28]ข้อมูลงานคอนกรีต!#REF!</definedName>
    <definedName name="DB_19" localSheetId="30">[28]ข้อมูลงานคอนกรีต!#REF!</definedName>
    <definedName name="DB_19">[19]ข้อมูลงานคอนกรีต!#REF!</definedName>
    <definedName name="DB_20" localSheetId="1">[28]ข้อมูลงานคอนกรีต!#REF!</definedName>
    <definedName name="DB_20" localSheetId="30">[28]ข้อมูลงานคอนกรีต!#REF!</definedName>
    <definedName name="DB_20">[19]ข้อมูลงานคอนกรีต!#REF!</definedName>
    <definedName name="DB_25" localSheetId="1">[28]ข้อมูลงานคอนกรีต!#REF!</definedName>
    <definedName name="DB_25" localSheetId="30">[28]ข้อมูลงานคอนกรีต!#REF!</definedName>
    <definedName name="DB_25">[19]ข้อมูลงานคอนกรีต!#REF!</definedName>
    <definedName name="DB_28" localSheetId="1">[8]Sheet1!#REF!</definedName>
    <definedName name="DB_28" localSheetId="30">[8]Sheet1!#REF!</definedName>
    <definedName name="DB_28">'[4]ได้ราคาคอนกรีต-เหล็กเสริม'!#REF!</definedName>
    <definedName name="db12mm" localSheetId="29">[29]แหล่งวัสดุ!$F$30</definedName>
    <definedName name="db12mm">[30]แหล่งวัสดุ!$F$30</definedName>
    <definedName name="db16mm" localSheetId="29">[29]แหล่งวัสดุ!$F$31</definedName>
    <definedName name="db16mm">[30]แหล่งวัสดุ!$F$31</definedName>
    <definedName name="db20mm" localSheetId="29">[29]แหล่งวัสดุ!$F$32</definedName>
    <definedName name="db20mm">[30]แหล่งวัสดุ!$F$32</definedName>
    <definedName name="DB25mm" localSheetId="1">[23]หมวดโครงสร้าง!$P$201</definedName>
    <definedName name="DB25mm" localSheetId="30">[23]หมวดโครงสร้าง!$P$201</definedName>
    <definedName name="DB25mm">[24]หมวดโครงสร้าง!$P$201</definedName>
    <definedName name="DimenBox1" localSheetId="1">[8]Sheet1!$EB$223</definedName>
    <definedName name="DimenBox1" localSheetId="30">[8]Sheet1!$EB$223</definedName>
    <definedName name="DimenBox1">[4]Form1!$AQ$78</definedName>
    <definedName name="DimenBox2" localSheetId="1">[8]Sheet1!$EB$233</definedName>
    <definedName name="DimenBox2" localSheetId="30">[8]Sheet1!$EB$233</definedName>
    <definedName name="DimenBox2">[4]Form1!$AQ$88</definedName>
    <definedName name="DimenBox3" localSheetId="1">[8]Sheet1!$EB$242</definedName>
    <definedName name="DimenBox3" localSheetId="30">[8]Sheet1!$EB$242</definedName>
    <definedName name="DimenBox3">[4]Form1!$AQ$97</definedName>
    <definedName name="DimenBox4" localSheetId="1">[8]Sheet1!$EB$251</definedName>
    <definedName name="DimenBox4" localSheetId="30">[8]Sheet1!$EB$251</definedName>
    <definedName name="DimenBox4">[4]Form1!$AQ$106</definedName>
    <definedName name="Ditch_Hillside_Type_A" localSheetId="1">[17]ค่างานต้นทุนต่อหน่วย!#REF!</definedName>
    <definedName name="Ditch_Hillside_Type_A" localSheetId="30">[17]ค่างานต้นทุนต่อหน่วย!#REF!</definedName>
    <definedName name="Ditch_Hillside_Type_A">'[19]Cost Estimate'!#REF!</definedName>
    <definedName name="Ditch_Hillside_Type_B" localSheetId="1">[17]ค่างานต้นทุนต่อหน่วย!#REF!</definedName>
    <definedName name="Ditch_Hillside_Type_B" localSheetId="30">[17]ค่างานต้นทุนต่อหน่วย!#REF!</definedName>
    <definedName name="Ditch_Hillside_Type_B">'[19]Cost Estimate'!#REF!</definedName>
    <definedName name="Ditch_LiningI" localSheetId="1">[17]ค่างานต้นทุนต่อหน่วย!#REF!</definedName>
    <definedName name="Ditch_LiningI" localSheetId="30">[17]ค่างานต้นทุนต่อหน่วย!#REF!</definedName>
    <definedName name="Ditch_LiningI">'[19]Cost Estimate'!#REF!</definedName>
    <definedName name="Ditch_LiningII" localSheetId="1">[17]ค่างานต้นทุนต่อหน่วย!#REF!</definedName>
    <definedName name="Ditch_LiningII" localSheetId="30">[17]ค่างานต้นทุนต่อหน่วย!#REF!</definedName>
    <definedName name="Ditch_LiningII">'[19]Cost Estimate'!#REF!</definedName>
    <definedName name="Ditch_LiningIII" localSheetId="1">[17]ค่างานต้นทุนต่อหน่วย!#REF!</definedName>
    <definedName name="Ditch_LiningIII" localSheetId="30">[17]ค่างานต้นทุนต่อหน่วย!#REF!</definedName>
    <definedName name="Ditch_LiningIII">'[19]Cost Estimate'!#REF!</definedName>
    <definedName name="Double_Elec_Pole" localSheetId="1">[17]ค่างานต้นทุนต่อหน่วย!#REF!</definedName>
    <definedName name="Double_Elec_Pole" localSheetId="30">[17]ค่างานต้นทุนต่อหน่วย!#REF!</definedName>
    <definedName name="Double_Elec_Pole">'[19]Cost Estimate'!#REF!</definedName>
    <definedName name="DS" localSheetId="0">#REF!</definedName>
    <definedName name="DS" localSheetId="1">#REF!</definedName>
    <definedName name="DS" localSheetId="30">#REF!</definedName>
    <definedName name="DS" localSheetId="14">#REF!</definedName>
    <definedName name="DS" localSheetId="16">#REF!</definedName>
    <definedName name="DS" localSheetId="7">#REF!</definedName>
    <definedName name="DS" localSheetId="8">#REF!</definedName>
    <definedName name="DS" localSheetId="9">#REF!</definedName>
    <definedName name="DS" localSheetId="10">#REF!</definedName>
    <definedName name="DS" localSheetId="19">#REF!</definedName>
    <definedName name="DS" localSheetId="20">#REF!</definedName>
    <definedName name="DS" localSheetId="6">#REF!</definedName>
    <definedName name="DS" localSheetId="11">#REF!</definedName>
    <definedName name="DS" localSheetId="12">#REF!</definedName>
    <definedName name="DS" localSheetId="13">#REF!</definedName>
    <definedName name="DS">#REF!</definedName>
    <definedName name="DT" localSheetId="0">#REF!</definedName>
    <definedName name="DT" localSheetId="1">#REF!</definedName>
    <definedName name="DT" localSheetId="30">#REF!</definedName>
    <definedName name="DT" localSheetId="14">#REF!</definedName>
    <definedName name="DT" localSheetId="16">#REF!</definedName>
    <definedName name="DT" localSheetId="7">#REF!</definedName>
    <definedName name="DT" localSheetId="8">#REF!</definedName>
    <definedName name="DT" localSheetId="9">#REF!</definedName>
    <definedName name="DT" localSheetId="10">#REF!</definedName>
    <definedName name="DT" localSheetId="19">#REF!</definedName>
    <definedName name="DT" localSheetId="20">#REF!</definedName>
    <definedName name="DT" localSheetId="6">#REF!</definedName>
    <definedName name="DT" localSheetId="11">#REF!</definedName>
    <definedName name="DT" localSheetId="12">#REF!</definedName>
    <definedName name="DT" localSheetId="13">#REF!</definedName>
    <definedName name="DT">#REF!</definedName>
    <definedName name="Dummy_Joint" localSheetId="1">[17]ค่างานต้นทุนต่อหน่วย!#REF!</definedName>
    <definedName name="Dummy_Joint" localSheetId="30">[17]ค่างานต้นทุนต่อหน่วย!#REF!</definedName>
    <definedName name="Dummy_Joint">'[19]Cost Estimate'!#REF!</definedName>
    <definedName name="Dท่อ1.20ม">[18]ตารางปริมาณงาน!$I$124</definedName>
    <definedName name="Dท่อ1.5ม">[18]ตารางปริมาณงาน!$I$125</definedName>
    <definedName name="Dท่อ1ม">[18]ตารางปริมาณงาน!$I$123</definedName>
    <definedName name="Dท่อ30ม">[18]ตารางปริมาณงาน!$I$119</definedName>
    <definedName name="Dท่อ40ม">[18]ตารางปริมาณงาน!$I$120</definedName>
    <definedName name="Dท่อ60ม">[18]ตารางปริมาณงาน!$I$121</definedName>
    <definedName name="Dท่อ80ม">[18]ตารางปริมาณงาน!$I$122</definedName>
    <definedName name="e" localSheetId="1">#REF!</definedName>
    <definedName name="e" localSheetId="30">#REF!</definedName>
    <definedName name="Earth_Emb" localSheetId="0">#REF!</definedName>
    <definedName name="Earth_Emb" localSheetId="1">[17]ค่างานต้นทุนต่อหน่วย!#REF!</definedName>
    <definedName name="Earth_Emb" localSheetId="30">[17]ค่างานต้นทุนต่อหน่วย!#REF!</definedName>
    <definedName name="Earth_Emb" localSheetId="14">#REF!</definedName>
    <definedName name="Earth_Emb" localSheetId="16">#REF!</definedName>
    <definedName name="Earth_Emb" localSheetId="7">#REF!</definedName>
    <definedName name="Earth_Emb" localSheetId="8">#REF!</definedName>
    <definedName name="Earth_Emb" localSheetId="9">#REF!</definedName>
    <definedName name="Earth_Emb" localSheetId="10">#REF!</definedName>
    <definedName name="Earth_Emb" localSheetId="19">#REF!</definedName>
    <definedName name="Earth_Emb" localSheetId="20">#REF!</definedName>
    <definedName name="Earth_Emb" localSheetId="6">#REF!</definedName>
    <definedName name="Earth_Emb" localSheetId="11">#REF!</definedName>
    <definedName name="Earth_Emb" localSheetId="12">#REF!</definedName>
    <definedName name="Earth_Emb" localSheetId="13">#REF!</definedName>
    <definedName name="Earth_Emb">#REF!</definedName>
    <definedName name="Earth_Ex" localSheetId="0">#REF!</definedName>
    <definedName name="Earth_Ex" localSheetId="1">[17]ค่างานต้นทุนต่อหน่วย!#REF!</definedName>
    <definedName name="Earth_Ex" localSheetId="30">[17]ค่างานต้นทุนต่อหน่วย!#REF!</definedName>
    <definedName name="Earth_Ex" localSheetId="14">#REF!</definedName>
    <definedName name="Earth_Ex" localSheetId="16">#REF!</definedName>
    <definedName name="Earth_Ex" localSheetId="7">#REF!</definedName>
    <definedName name="Earth_Ex" localSheetId="8">#REF!</definedName>
    <definedName name="Earth_Ex" localSheetId="9">#REF!</definedName>
    <definedName name="Earth_Ex" localSheetId="10">#REF!</definedName>
    <definedName name="Earth_Ex" localSheetId="19">#REF!</definedName>
    <definedName name="Earth_Ex" localSheetId="20">#REF!</definedName>
    <definedName name="Earth_Ex" localSheetId="6">#REF!</definedName>
    <definedName name="Earth_Ex" localSheetId="11">#REF!</definedName>
    <definedName name="Earth_Ex" localSheetId="12">#REF!</definedName>
    <definedName name="Earth_Ex" localSheetId="13">#REF!</definedName>
    <definedName name="Earth_Ex">#REF!</definedName>
    <definedName name="Earth_Fill_in_Median" localSheetId="1">[17]ค่างานต้นทุนต่อหน่วย!#REF!</definedName>
    <definedName name="Earth_Fill_in_Median" localSheetId="30">[17]ค่างานต้นทุนต่อหน่วย!#REF!</definedName>
    <definedName name="Earth_Fill_in_Median">'[19]Cost Estimate'!#REF!</definedName>
    <definedName name="Earth_Fill_Sidewalk" localSheetId="1">[17]ค่างานต้นทุนต่อหน่วย!#REF!</definedName>
    <definedName name="Earth_Fill_Sidewalk" localSheetId="30">[17]ค่างานต้นทุนต่อหน่วย!#REF!</definedName>
    <definedName name="Earth_Fill_Sidewalk">'[19]Cost Estimate'!#REF!</definedName>
    <definedName name="Edge_Joint" localSheetId="1">[17]ค่างานต้นทุนต่อหน่วย!#REF!</definedName>
    <definedName name="Edge_Joint" localSheetId="30">[17]ค่างานต้นทุนต่อหน่วย!#REF!</definedName>
    <definedName name="Edge_Joint">'[19]Cost Estimate'!#REF!</definedName>
    <definedName name="EL.1" localSheetId="1">'[31]Cal Fto'!#REF!</definedName>
    <definedName name="EL.1" localSheetId="30">'[31]Cal Fto'!#REF!</definedName>
    <definedName name="EL.10" localSheetId="1">'[31]Cal Fto'!#REF!</definedName>
    <definedName name="EL.10" localSheetId="30">'[31]Cal Fto'!#REF!</definedName>
    <definedName name="EL.11" localSheetId="1">#REF!</definedName>
    <definedName name="EL.11" localSheetId="30">#REF!</definedName>
    <definedName name="EL.2" localSheetId="1">'[31]Cal Fto'!#REF!</definedName>
    <definedName name="EL.2" localSheetId="30">'[31]Cal Fto'!#REF!</definedName>
    <definedName name="EL.3" localSheetId="1">'[31]Cal Fto'!#REF!</definedName>
    <definedName name="EL.3" localSheetId="30">'[31]Cal Fto'!#REF!</definedName>
    <definedName name="EL.4" localSheetId="1">'[31]Cal Fto'!#REF!</definedName>
    <definedName name="EL.4" localSheetId="30">'[31]Cal Fto'!#REF!</definedName>
    <definedName name="EL.5" localSheetId="1">'[31]Cal Fto'!#REF!</definedName>
    <definedName name="EL.5" localSheetId="30">'[31]Cal Fto'!#REF!</definedName>
    <definedName name="EL.6" localSheetId="1">'[31]Cal Fto'!#REF!</definedName>
    <definedName name="EL.6" localSheetId="30">'[31]Cal Fto'!#REF!</definedName>
    <definedName name="EL.7" localSheetId="1">'[31]Cal Fto'!#REF!</definedName>
    <definedName name="EL.7" localSheetId="30">'[31]Cal Fto'!#REF!</definedName>
    <definedName name="EL.8" localSheetId="1">'[31]Cal Fto'!#REF!</definedName>
    <definedName name="EL.8" localSheetId="30">'[31]Cal Fto'!#REF!</definedName>
    <definedName name="EL.9" localSheetId="1">'[31]Cal Fto'!#REF!</definedName>
    <definedName name="EL.9" localSheetId="30">'[31]Cal Fto'!#REF!</definedName>
    <definedName name="End_Clearing" localSheetId="0">#REF!</definedName>
    <definedName name="End_Clearing" localSheetId="1">[17]ค่างานต้นทุนต่อหน่วย!#REF!</definedName>
    <definedName name="End_Clearing" localSheetId="30">[17]ค่างานต้นทุนต่อหน่วย!#REF!</definedName>
    <definedName name="End_Clearing" localSheetId="14">#REF!</definedName>
    <definedName name="End_Clearing" localSheetId="16">#REF!</definedName>
    <definedName name="End_Clearing" localSheetId="7">#REF!</definedName>
    <definedName name="End_Clearing" localSheetId="8">#REF!</definedName>
    <definedName name="End_Clearing" localSheetId="9">#REF!</definedName>
    <definedName name="End_Clearing" localSheetId="10">#REF!</definedName>
    <definedName name="End_Clearing" localSheetId="19">#REF!</definedName>
    <definedName name="End_Clearing" localSheetId="20">#REF!</definedName>
    <definedName name="End_Clearing" localSheetId="6">#REF!</definedName>
    <definedName name="End_Clearing" localSheetId="11">#REF!</definedName>
    <definedName name="End_Clearing" localSheetId="12">#REF!</definedName>
    <definedName name="End_Clearing" localSheetId="13">#REF!</definedName>
    <definedName name="End_Clearing">#REF!</definedName>
    <definedName name="EndPilesRW100" localSheetId="1">[17]ค่างานต้นทุนต่อหน่วย!#REF!</definedName>
    <definedName name="EndPilesRW100" localSheetId="30">[17]ค่างานต้นทุนต่อหน่วย!#REF!</definedName>
    <definedName name="EndPilesRW100">'[19]Cost Estimate'!#REF!</definedName>
    <definedName name="EndPilesRW200" localSheetId="1">[17]ค่างานต้นทุนต่อหน่วย!#REF!</definedName>
    <definedName name="EndPilesRW200" localSheetId="30">[17]ค่างานต้นทุนต่อหน่วย!#REF!</definedName>
    <definedName name="EndPilesRW200">'[19]Cost Estimate'!#REF!</definedName>
    <definedName name="EndPilesRW300" localSheetId="1">[17]ค่างานต้นทุนต่อหน่วย!#REF!</definedName>
    <definedName name="EndPilesRW300" localSheetId="30">[17]ค่างานต้นทุนต่อหน่วย!#REF!</definedName>
    <definedName name="EndPilesRW300">'[19]Cost Estimate'!#REF!</definedName>
    <definedName name="ER" localSheetId="0">#REF!</definedName>
    <definedName name="ER" localSheetId="1">#REF!</definedName>
    <definedName name="ER" localSheetId="30">#REF!</definedName>
    <definedName name="ER" localSheetId="14">#REF!</definedName>
    <definedName name="ER" localSheetId="16">#REF!</definedName>
    <definedName name="ER" localSheetId="7">#REF!</definedName>
    <definedName name="ER" localSheetId="8">#REF!</definedName>
    <definedName name="ER" localSheetId="9">#REF!</definedName>
    <definedName name="ER" localSheetId="10">#REF!</definedName>
    <definedName name="ER" localSheetId="19">#REF!</definedName>
    <definedName name="ER" localSheetId="20">#REF!</definedName>
    <definedName name="ER" localSheetId="6">#REF!</definedName>
    <definedName name="ER" localSheetId="11">#REF!</definedName>
    <definedName name="ER" localSheetId="12">#REF!</definedName>
    <definedName name="ER" localSheetId="13">#REF!</definedName>
    <definedName name="ER">#REF!</definedName>
    <definedName name="Expansion_Joint" localSheetId="0">#REF!</definedName>
    <definedName name="Expansion_Joint" localSheetId="1">[17]ค่างานต้นทุนต่อหน่วย!#REF!</definedName>
    <definedName name="Expansion_Joint" localSheetId="30">[17]ค่างานต้นทุนต่อหน่วย!#REF!</definedName>
    <definedName name="Expansion_Joint" localSheetId="14">#REF!</definedName>
    <definedName name="Expansion_Joint" localSheetId="16">#REF!</definedName>
    <definedName name="Expansion_Joint" localSheetId="7">#REF!</definedName>
    <definedName name="Expansion_Joint" localSheetId="8">#REF!</definedName>
    <definedName name="Expansion_Joint" localSheetId="9">#REF!</definedName>
    <definedName name="Expansion_Joint" localSheetId="10">#REF!</definedName>
    <definedName name="Expansion_Joint" localSheetId="19">#REF!</definedName>
    <definedName name="Expansion_Joint" localSheetId="20">#REF!</definedName>
    <definedName name="Expansion_Joint" localSheetId="6">#REF!</definedName>
    <definedName name="Expansion_Joint" localSheetId="11">#REF!</definedName>
    <definedName name="Expansion_Joint" localSheetId="12">#REF!</definedName>
    <definedName name="Expansion_Joint" localSheetId="13">#REF!</definedName>
    <definedName name="Expansion_Joint">#REF!</definedName>
    <definedName name="Exten1" localSheetId="1">[8]Sheet1!$A$198</definedName>
    <definedName name="Exten1" localSheetId="30">[8]Sheet1!$A$198</definedName>
    <definedName name="Exten1">[4]Form1!$A$192</definedName>
    <definedName name="Exten2" localSheetId="1">[8]Sheet1!$A$199</definedName>
    <definedName name="Exten2" localSheetId="30">[8]Sheet1!$A$199</definedName>
    <definedName name="Exten2">[4]Form1!$A$193</definedName>
    <definedName name="Exten3" localSheetId="1">[8]Sheet1!$A$200</definedName>
    <definedName name="Exten3" localSheetId="30">[8]Sheet1!$A$200</definedName>
    <definedName name="Exten3">[4]Form1!$A$194</definedName>
    <definedName name="Exten4" localSheetId="1">[8]Sheet1!$A$201</definedName>
    <definedName name="Exten4" localSheetId="30">[8]Sheet1!$A$201</definedName>
    <definedName name="Exten4">[4]Form1!$A$195</definedName>
    <definedName name="Eรวมพื้นที่ตีเส้นจราจรAC">[18]ตารางปริมาณงาน!#REF!</definedName>
    <definedName name="Eรวมพื้นที่ตีเส้นจราจรคสล">[18]ตารางปริมาณงาน!#REF!</definedName>
    <definedName name="F" localSheetId="0">#REF!</definedName>
    <definedName name="F" localSheetId="1">#REF!</definedName>
    <definedName name="F" localSheetId="30">#REF!</definedName>
    <definedName name="F" localSheetId="14">#REF!</definedName>
    <definedName name="F" localSheetId="16">#REF!</definedName>
    <definedName name="F" localSheetId="7">#REF!</definedName>
    <definedName name="F" localSheetId="8">#REF!</definedName>
    <definedName name="F" localSheetId="9">#REF!</definedName>
    <definedName name="F" localSheetId="10">#REF!</definedName>
    <definedName name="F" localSheetId="19">#REF!</definedName>
    <definedName name="F" localSheetId="20">#REF!</definedName>
    <definedName name="F" localSheetId="6">#REF!</definedName>
    <definedName name="F" localSheetId="11">#REF!</definedName>
    <definedName name="F" localSheetId="12">#REF!</definedName>
    <definedName name="F" localSheetId="13">#REF!</definedName>
    <definedName name="F">#REF!</definedName>
    <definedName name="f_bridge" localSheetId="1">'[32]F(ของเรา)'!$G$27</definedName>
    <definedName name="f_bridge" localSheetId="30">'[32]F(ของเรา)'!$G$27</definedName>
    <definedName name="f_bridge">'[33]F(ของเรา)'!$G$27</definedName>
    <definedName name="F_road" localSheetId="1">'[32]F(ของเรา)'!$G$26</definedName>
    <definedName name="F_road" localSheetId="30">'[32]F(ของเรา)'!$G$26</definedName>
    <definedName name="F_road">'[33]F(ของเรา)'!$G$26</definedName>
    <definedName name="FactorConcBox1" localSheetId="1">[8]Sheet1!$ED$224</definedName>
    <definedName name="FactorConcBox1" localSheetId="30">[8]Sheet1!$ED$224</definedName>
    <definedName name="FactorConcBox1">[4]Form1!$AS$79</definedName>
    <definedName name="FactorConcBox2" localSheetId="1">[8]Sheet1!$ED$234</definedName>
    <definedName name="FactorConcBox2" localSheetId="30">[8]Sheet1!$ED$234</definedName>
    <definedName name="FactorConcBox2">[4]Form1!$AS$89</definedName>
    <definedName name="FactorConcBox3" localSheetId="1">[8]Sheet1!$ED$243</definedName>
    <definedName name="FactorConcBox3" localSheetId="30">[8]Sheet1!$ED$243</definedName>
    <definedName name="FactorConcBox3">[4]Form1!$AS$98</definedName>
    <definedName name="FactorConcBox4" localSheetId="1">[8]Sheet1!$ED$252</definedName>
    <definedName name="FactorConcBox4" localSheetId="30">[8]Sheet1!$ED$252</definedName>
    <definedName name="FactorConcBox4">[4]Form1!$AS$107</definedName>
    <definedName name="ff" localSheetId="29">'[34]F(ของเรา)'!$G$27</definedName>
    <definedName name="ff">'[35]F(ของเรา)'!$G$27</definedName>
    <definedName name="fff" localSheetId="1">'[36]11 ข้อมูลงานCon'!$AB$30</definedName>
    <definedName name="fff" localSheetId="30">'[36]11 ข้อมูลงานCon'!$AB$30</definedName>
    <definedName name="fff" localSheetId="29">'[37]11 ข้อมูลงานCon'!$AB$30</definedName>
    <definedName name="fff">'[38]11 ข้อมูลงานCon'!$AB$30</definedName>
    <definedName name="fill_height" localSheetId="0">#REF!</definedName>
    <definedName name="fill_height" localSheetId="1">#REF!</definedName>
    <definedName name="fill_height" localSheetId="30">#REF!</definedName>
    <definedName name="fill_height" localSheetId="14">#REF!</definedName>
    <definedName name="fill_height" localSheetId="16">#REF!</definedName>
    <definedName name="fill_height" localSheetId="7">#REF!</definedName>
    <definedName name="fill_height" localSheetId="8">#REF!</definedName>
    <definedName name="fill_height" localSheetId="9">#REF!</definedName>
    <definedName name="fill_height" localSheetId="10">#REF!</definedName>
    <definedName name="fill_height" localSheetId="19">#REF!</definedName>
    <definedName name="fill_height" localSheetId="20">#REF!</definedName>
    <definedName name="fill_height" localSheetId="6">#REF!</definedName>
    <definedName name="fill_height" localSheetId="11">#REF!</definedName>
    <definedName name="fill_height" localSheetId="12">#REF!</definedName>
    <definedName name="fill_height" localSheetId="13">#REF!</definedName>
    <definedName name="fill_height">#REF!</definedName>
    <definedName name="fill1" localSheetId="1">[7]ค่างานต้นทุน!$H$39</definedName>
    <definedName name="fill1" localSheetId="30">[7]ค่างานต้นทุน!$H$39</definedName>
    <definedName name="fill1">[6]ค่างานต้นทุน!$H$39</definedName>
    <definedName name="fill2" localSheetId="1">[7]ค่างานต้นทุน!$H$42</definedName>
    <definedName name="fill2" localSheetId="30">[7]ค่างานต้นทุน!$H$42</definedName>
    <definedName name="fill2">[6]ค่างานต้นทุน!$H$42</definedName>
    <definedName name="First_PageConcSteel" localSheetId="1">[28]ข้อมูลงานคอนกรีต!#REF!</definedName>
    <definedName name="First_PageConcSteel" localSheetId="30">[28]ข้อมูลงานคอนกรีต!#REF!</definedName>
    <definedName name="First_PageConcSteel">[19]ข้อมูลงานคอนกรีต!#REF!</definedName>
    <definedName name="First_PageForm2" localSheetId="0">#REF!</definedName>
    <definedName name="First_PageForm2" localSheetId="1">[17]ค่างานต้นทุนต่อหน่วย!#REF!</definedName>
    <definedName name="First_PageForm2" localSheetId="30">[17]ค่างานต้นทุนต่อหน่วย!#REF!</definedName>
    <definedName name="First_PageForm2" localSheetId="14">#REF!</definedName>
    <definedName name="First_PageForm2" localSheetId="16">#REF!</definedName>
    <definedName name="First_PageForm2" localSheetId="7">#REF!</definedName>
    <definedName name="First_PageForm2" localSheetId="8">#REF!</definedName>
    <definedName name="First_PageForm2" localSheetId="9">#REF!</definedName>
    <definedName name="First_PageForm2" localSheetId="10">#REF!</definedName>
    <definedName name="First_PageForm2" localSheetId="19">#REF!</definedName>
    <definedName name="First_PageForm2" localSheetId="20">#REF!</definedName>
    <definedName name="First_PageForm2" localSheetId="6">#REF!</definedName>
    <definedName name="First_PageForm2" localSheetId="11">#REF!</definedName>
    <definedName name="First_PageForm2" localSheetId="12">#REF!</definedName>
    <definedName name="First_PageForm2" localSheetId="13">#REF!</definedName>
    <definedName name="First_PageForm2">#REF!</definedName>
    <definedName name="FirstLineDocA" localSheetId="1">[8]Sheet1!$B$9</definedName>
    <definedName name="FirstLineDocA" localSheetId="30">[8]Sheet1!$B$9</definedName>
    <definedName name="FirstLineDocA">[4]Form3!$B$9</definedName>
    <definedName name="FirstLineMaterials" localSheetId="1">'[28]ราคาวัสดุที่แหล่ง+ระยะขนส่ง'!#REF!</definedName>
    <definedName name="FirstLineMaterials" localSheetId="30">'[28]ราคาวัสดุที่แหล่ง+ระยะขนส่ง'!#REF!</definedName>
    <definedName name="FirstLineMaterials">'[19]ราคาวัสดุที่แหล่ง+ระยะขนส่ง'!#REF!</definedName>
    <definedName name="Flashing_Signal" localSheetId="1">[17]ค่างานต้นทุนต่อหน่วย!#REF!</definedName>
    <definedName name="Flashing_Signal" localSheetId="30">[17]ค่างานต้นทุนต่อหน่วย!#REF!</definedName>
    <definedName name="Flashing_Signal">'[19]Cost Estimate'!#REF!</definedName>
    <definedName name="FloorTHK1" localSheetId="1">[8]Sheet1!$EF$223</definedName>
    <definedName name="FloorTHK1" localSheetId="30">[8]Sheet1!$EF$223</definedName>
    <definedName name="FloorTHK1">[4]Form1!$AU$78</definedName>
    <definedName name="FloorTHK2" localSheetId="1">[8]Sheet1!$EF$233</definedName>
    <definedName name="FloorTHK2" localSheetId="30">[8]Sheet1!$EF$233</definedName>
    <definedName name="FloorTHK2">[4]Form1!$AU$88</definedName>
    <definedName name="FloorTHK3" localSheetId="1">[8]Sheet1!$EF$242</definedName>
    <definedName name="FloorTHK3" localSheetId="30">[8]Sheet1!$EF$242</definedName>
    <definedName name="FloorTHK3">[4]Form1!$AU$97</definedName>
    <definedName name="FloorTHK4" localSheetId="1">[8]Sheet1!$EF$251</definedName>
    <definedName name="FloorTHK4" localSheetId="30">[8]Sheet1!$EF$251</definedName>
    <definedName name="FloorTHK4">[4]Form1!$AU$106</definedName>
    <definedName name="FormWKBox1" localSheetId="1">[8]Sheet1!$EB$226</definedName>
    <definedName name="FormWKBox1" localSheetId="30">[8]Sheet1!$EB$226</definedName>
    <definedName name="FormWKBox1">[4]Form1!$AQ$81</definedName>
    <definedName name="FormWKBox2" localSheetId="1">[8]Sheet1!$EB$236</definedName>
    <definedName name="FormWKBox2" localSheetId="30">[8]Sheet1!$EB$236</definedName>
    <definedName name="FormWKBox2">[4]Form1!$AQ$91</definedName>
    <definedName name="FormWKBox3" localSheetId="1">[8]Sheet1!$EB$245</definedName>
    <definedName name="FormWKBox3" localSheetId="30">[8]Sheet1!$EB$245</definedName>
    <definedName name="FormWKBox3">[4]Form1!$AQ$100</definedName>
    <definedName name="FormWKBox4" localSheetId="1">[8]Sheet1!$EB$254</definedName>
    <definedName name="FormWKBox4" localSheetId="30">[8]Sheet1!$EB$254</definedName>
    <definedName name="FormWKBox4">[4]Form1!$AQ$109</definedName>
    <definedName name="FormWKBoxEnd1" localSheetId="1">[8]Sheet1!$EC$226</definedName>
    <definedName name="FormWKBoxEnd1" localSheetId="30">[8]Sheet1!$EC$226</definedName>
    <definedName name="FormWKBoxEnd1">[4]Form1!$AR$81</definedName>
    <definedName name="FormWKBoxEnd2" localSheetId="1">[8]Sheet1!$EC$236</definedName>
    <definedName name="FormWKBoxEnd2" localSheetId="30">[8]Sheet1!$EC$236</definedName>
    <definedName name="FormWKBoxEnd2">[4]Form1!$AR$91</definedName>
    <definedName name="FormWKBoxEnd3" localSheetId="1">[8]Sheet1!$EC$245</definedName>
    <definedName name="FormWKBoxEnd3" localSheetId="30">[8]Sheet1!$EC$245</definedName>
    <definedName name="FormWKBoxEnd3">[4]Form1!$AR$100</definedName>
    <definedName name="FormWKBoxEnd4" localSheetId="1">[8]Sheet1!$EC$254</definedName>
    <definedName name="FormWKBoxEnd4" localSheetId="30">[8]Sheet1!$EC$254</definedName>
    <definedName name="FormWKBoxEnd4">[4]Form1!$AR$109</definedName>
    <definedName name="Formwork" localSheetId="1">[23]หมวดโครงสร้าง!$P$136</definedName>
    <definedName name="Formwork" localSheetId="30">[23]หมวดโครงสร้าง!$P$136</definedName>
    <definedName name="Formwork">[24]หมวดโครงสร้าง!$P$136</definedName>
    <definedName name="Formwork4" localSheetId="1">[23]หมวดโครงสร้าง!$P$116</definedName>
    <definedName name="Formwork4" localSheetId="30">[23]หมวดโครงสร้าง!$P$116</definedName>
    <definedName name="Formwork4">[24]หมวดโครงสร้าง!$P$116</definedName>
    <definedName name="formwork5" localSheetId="1">[23]หมวดโครงสร้าง!$P$123</definedName>
    <definedName name="formwork5" localSheetId="30">[23]หมวดโครงสร้าง!$P$123</definedName>
    <definedName name="formwork5">[24]หมวดโครงสร้าง!$P$123</definedName>
    <definedName name="froad" localSheetId="0">#REF!</definedName>
    <definedName name="froad" localSheetId="1">#REF!</definedName>
    <definedName name="froad" localSheetId="30">#REF!</definedName>
    <definedName name="froad" localSheetId="14">#REF!</definedName>
    <definedName name="froad" localSheetId="16">#REF!</definedName>
    <definedName name="froad" localSheetId="7">#REF!</definedName>
    <definedName name="froad" localSheetId="8">#REF!</definedName>
    <definedName name="froad" localSheetId="9">#REF!</definedName>
    <definedName name="froad" localSheetId="10">#REF!</definedName>
    <definedName name="froad" localSheetId="19">#REF!</definedName>
    <definedName name="froad" localSheetId="20">#REF!</definedName>
    <definedName name="froad" localSheetId="6">#REF!</definedName>
    <definedName name="froad" localSheetId="11">#REF!</definedName>
    <definedName name="froad" localSheetId="12">#REF!</definedName>
    <definedName name="froad" localSheetId="13">#REF!</definedName>
    <definedName name="froad">#REF!</definedName>
    <definedName name="FWS" localSheetId="1">'[39]11 ข้อมูลงานCon'!$AB$30</definedName>
    <definedName name="FWS" localSheetId="30">'[39]11 ข้อมูลงานCon'!$AB$30</definedName>
    <definedName name="FWS" localSheetId="29">'[40]11 ข้อมูลงานCon'!$AB$30</definedName>
    <definedName name="FWS">'[41]11 ข้อมูลงานCon'!$AB$30</definedName>
    <definedName name="FWSS" localSheetId="1">'[39]11 ข้อมูลงานCon'!$AB$30</definedName>
    <definedName name="FWSS" localSheetId="30">'[39]11 ข้อมูลงานCon'!$AB$30</definedName>
    <definedName name="FWSS" localSheetId="29">'[40]11 ข้อมูลงานCon'!$AB$30</definedName>
    <definedName name="FWSS">'[41]11 ข้อมูลงานCon'!$AB$30</definedName>
    <definedName name="fกรรมการ" localSheetId="0">#REF!</definedName>
    <definedName name="fกรรมการ" localSheetId="1">#REF!</definedName>
    <definedName name="fกรรมการ" localSheetId="30">#REF!</definedName>
    <definedName name="fกรรมการ" localSheetId="14">#REF!</definedName>
    <definedName name="fกรรมการ" localSheetId="16">#REF!</definedName>
    <definedName name="fกรรมการ" localSheetId="7">#REF!</definedName>
    <definedName name="fกรรมการ" localSheetId="8">#REF!</definedName>
    <definedName name="fกรรมการ" localSheetId="9">#REF!</definedName>
    <definedName name="fกรรมการ" localSheetId="10">#REF!</definedName>
    <definedName name="fกรรมการ" localSheetId="19">#REF!</definedName>
    <definedName name="fกรรมการ" localSheetId="20">#REF!</definedName>
    <definedName name="fกรรมการ" localSheetId="6">#REF!</definedName>
    <definedName name="fกรรมการ" localSheetId="11">#REF!</definedName>
    <definedName name="fกรรมการ" localSheetId="12">#REF!</definedName>
    <definedName name="fกรรมการ" localSheetId="13">#REF!</definedName>
    <definedName name="fกรรมการ">#REF!</definedName>
    <definedName name="Fทาง" localSheetId="1">[40]FactorF!$C$15</definedName>
    <definedName name="Fทาง" localSheetId="30">[40]FactorF!$C$15</definedName>
    <definedName name="Fทาง">[42]FactorF!$C$15</definedName>
    <definedName name="Fรวมพื้นที่แทคโค๊ด">[18]ตารางปริมาณงาน!#REF!</definedName>
    <definedName name="gaurd1" localSheetId="1">[7]ค่างานต้นทุน!$H$402</definedName>
    <definedName name="gaurd1" localSheetId="30">[7]ค่างานต้นทุน!$H$402</definedName>
    <definedName name="gaurd1">[6]ค่างานต้นทุน!$H$402</definedName>
    <definedName name="gaurd2" localSheetId="1">[7]ค่างานต้นทุน!$H$415</definedName>
    <definedName name="gaurd2" localSheetId="30">[7]ค่างานต้นทุน!$H$415</definedName>
    <definedName name="gaurd2">[6]ค่างานต้นทุน!$H$415</definedName>
    <definedName name="gaurd3" localSheetId="1">[7]ค่างานต้นทุน!$H$429</definedName>
    <definedName name="gaurd3" localSheetId="30">[7]ค่างานต้นทุน!$H$429</definedName>
    <definedName name="gaurd3">[6]ค่างานต้นทุน!$H$429</definedName>
    <definedName name="gaurd4" localSheetId="1">[7]ค่างานต้นทุน!$H$443</definedName>
    <definedName name="gaurd4" localSheetId="30">[7]ค่างานต้นทุน!$H$443</definedName>
    <definedName name="gaurd4">[6]ค่างานต้นทุน!$H$443</definedName>
    <definedName name="gaurd5" localSheetId="1">[7]ค่างานต้นทุน!$H$457</definedName>
    <definedName name="gaurd5" localSheetId="30">[7]ค่างานต้นทุน!$H$457</definedName>
    <definedName name="gaurd5">[6]ค่างานต้นทุน!$H$457</definedName>
    <definedName name="GlassStone360" localSheetId="0">#REF!</definedName>
    <definedName name="GlassStone360" localSheetId="1">[17]ค่างานต้นทุนต่อหน่วย!#REF!</definedName>
    <definedName name="GlassStone360" localSheetId="30">[17]ค่างานต้นทุนต่อหน่วย!#REF!</definedName>
    <definedName name="GlassStone360" localSheetId="14">#REF!</definedName>
    <definedName name="GlassStone360" localSheetId="16">#REF!</definedName>
    <definedName name="GlassStone360" localSheetId="7">#REF!</definedName>
    <definedName name="GlassStone360" localSheetId="8">#REF!</definedName>
    <definedName name="GlassStone360" localSheetId="9">#REF!</definedName>
    <definedName name="GlassStone360" localSheetId="10">#REF!</definedName>
    <definedName name="GlassStone360" localSheetId="19">#REF!</definedName>
    <definedName name="GlassStone360" localSheetId="20">#REF!</definedName>
    <definedName name="GlassStone360" localSheetId="6">#REF!</definedName>
    <definedName name="GlassStone360" localSheetId="11">#REF!</definedName>
    <definedName name="GlassStone360" localSheetId="12">#REF!</definedName>
    <definedName name="GlassStone360" localSheetId="13">#REF!</definedName>
    <definedName name="GlassStone360">#REF!</definedName>
    <definedName name="GR" localSheetId="0">#REF!</definedName>
    <definedName name="GR" localSheetId="1">#REF!</definedName>
    <definedName name="GR" localSheetId="30">#REF!</definedName>
    <definedName name="GR" localSheetId="14">#REF!</definedName>
    <definedName name="GR" localSheetId="16">#REF!</definedName>
    <definedName name="GR" localSheetId="7">#REF!</definedName>
    <definedName name="GR" localSheetId="8">#REF!</definedName>
    <definedName name="GR" localSheetId="9">#REF!</definedName>
    <definedName name="GR" localSheetId="10">#REF!</definedName>
    <definedName name="GR" localSheetId="19">#REF!</definedName>
    <definedName name="GR" localSheetId="20">#REF!</definedName>
    <definedName name="GR" localSheetId="6">#REF!</definedName>
    <definedName name="GR" localSheetId="11">#REF!</definedName>
    <definedName name="GR" localSheetId="12">#REF!</definedName>
    <definedName name="GR" localSheetId="13">#REF!</definedName>
    <definedName name="GR">#REF!</definedName>
    <definedName name="GravelList" localSheetId="1">[8]Sheet1!$L$38</definedName>
    <definedName name="GravelList" localSheetId="30">[8]Sheet1!$L$38</definedName>
    <definedName name="GravelList">[4]Form1!$L$37</definedName>
    <definedName name="GravelPrice" localSheetId="1">[8]Sheet1!$V$14</definedName>
    <definedName name="GravelPrice" localSheetId="30">[8]Sheet1!$V$14</definedName>
    <definedName name="GravelPrice">'[4]ได้ราคาคอนกรีต-เหล็กเสริม'!$V$14</definedName>
    <definedName name="GravelPrice1" localSheetId="1">[28]ข้อมูลงานคอนกรีต!#REF!</definedName>
    <definedName name="GravelPrice1" localSheetId="30">[28]ข้อมูลงานคอนกรีต!#REF!</definedName>
    <definedName name="GravelPrice1">[19]ข้อมูลงานคอนกรีต!#REF!</definedName>
    <definedName name="GuidePost" localSheetId="1">[17]ค่างานต้นทุนต่อหน่วย!#REF!</definedName>
    <definedName name="GuidePost" localSheetId="30">[17]ค่างานต้นทุนต่อหน่วย!#REF!</definedName>
    <definedName name="GuidePost">'[19]Cost Estimate'!#REF!</definedName>
    <definedName name="H" localSheetId="1">#REF!</definedName>
    <definedName name="H" localSheetId="30">#REF!</definedName>
    <definedName name="HasPiles100" localSheetId="1">[8]Sheet1!$B$115</definedName>
    <definedName name="HasPiles100" localSheetId="30">[8]Sheet1!$B$115</definedName>
    <definedName name="HasPiles100">[4]Form1!$B$110</definedName>
    <definedName name="HasPiles200" localSheetId="1">[8]Sheet1!$B$117</definedName>
    <definedName name="HasPiles200" localSheetId="30">[8]Sheet1!$B$117</definedName>
    <definedName name="HasPiles200">[4]Form1!$B$112</definedName>
    <definedName name="HasPiles300" localSheetId="1">[8]Sheet1!$B$119</definedName>
    <definedName name="HasPiles300" localSheetId="30">[8]Sheet1!$B$119</definedName>
    <definedName name="HasPiles300">[4]Form1!$B$114</definedName>
    <definedName name="HC" localSheetId="1">#REF!</definedName>
    <definedName name="HC" localSheetId="30">#REF!</definedName>
    <definedName name="HHD" localSheetId="1">'[31]Cal Fto'!#REF!</definedName>
    <definedName name="HHD" localSheetId="30">'[31]Cal Fto'!#REF!</definedName>
    <definedName name="HHU" localSheetId="1">'[31]Cal Fto'!#REF!</definedName>
    <definedName name="HHU" localSheetId="30">'[31]Cal Fto'!#REF!</definedName>
    <definedName name="High_Mast" localSheetId="1">[17]ค่างานต้นทุนต่อหน่วย!#REF!</definedName>
    <definedName name="High_Mast" localSheetId="30">[17]ค่างานต้นทุนต่อหน่วย!#REF!</definedName>
    <definedName name="High_Mast">'[19]Cost Estimate'!#REF!</definedName>
    <definedName name="HMARecycling" localSheetId="0">#REF!</definedName>
    <definedName name="HMARecycling" localSheetId="1">[17]ค่างานต้นทุนต่อหน่วย!#REF!</definedName>
    <definedName name="HMARecycling" localSheetId="30">[17]ค่างานต้นทุนต่อหน่วย!#REF!</definedName>
    <definedName name="HMARecycling" localSheetId="14">#REF!</definedName>
    <definedName name="HMARecycling" localSheetId="16">#REF!</definedName>
    <definedName name="HMARecycling" localSheetId="7">#REF!</definedName>
    <definedName name="HMARecycling" localSheetId="8">#REF!</definedName>
    <definedName name="HMARecycling" localSheetId="9">#REF!</definedName>
    <definedName name="HMARecycling" localSheetId="10">#REF!</definedName>
    <definedName name="HMARecycling" localSheetId="19">#REF!</definedName>
    <definedName name="HMARecycling" localSheetId="20">#REF!</definedName>
    <definedName name="HMARecycling" localSheetId="6">#REF!</definedName>
    <definedName name="HMARecycling" localSheetId="11">#REF!</definedName>
    <definedName name="HMARecycling" localSheetId="12">#REF!</definedName>
    <definedName name="HMARecycling" localSheetId="13">#REF!</definedName>
    <definedName name="HMARecycling">#REF!</definedName>
    <definedName name="HOUR">[9]ค่าขนส่ง!$AE$26</definedName>
    <definedName name="hour1">[9]ค่าขนส่งด้วยรถพ่วง!$S$30</definedName>
    <definedName name="houra">[20]หกล้อขนส่ง!$AG$24</definedName>
    <definedName name="HWBOX1">[5]HWBOX!$Q$1662:$AF$1675</definedName>
    <definedName name="i" localSheetId="0">#REF!</definedName>
    <definedName name="i" localSheetId="1">#REF!</definedName>
    <definedName name="i" localSheetId="30">#REF!</definedName>
    <definedName name="i" localSheetId="14">#REF!</definedName>
    <definedName name="i" localSheetId="16">#REF!</definedName>
    <definedName name="i" localSheetId="7">#REF!</definedName>
    <definedName name="i" localSheetId="8">#REF!</definedName>
    <definedName name="i" localSheetId="9">#REF!</definedName>
    <definedName name="i" localSheetId="10">#REF!</definedName>
    <definedName name="i" localSheetId="19">#REF!</definedName>
    <definedName name="i" localSheetId="20">#REF!</definedName>
    <definedName name="i" localSheetId="6">#REF!</definedName>
    <definedName name="i" localSheetId="11">#REF!</definedName>
    <definedName name="i" localSheetId="12">#REF!</definedName>
    <definedName name="i" localSheetId="13">#REF!</definedName>
    <definedName name="i">#REF!</definedName>
    <definedName name="ii" localSheetId="0">#REF!</definedName>
    <definedName name="ii" localSheetId="1">#REF!</definedName>
    <definedName name="ii" localSheetId="30">#REF!</definedName>
    <definedName name="ii" localSheetId="14">#REF!</definedName>
    <definedName name="ii" localSheetId="16">#REF!</definedName>
    <definedName name="ii" localSheetId="7">#REF!</definedName>
    <definedName name="ii" localSheetId="8">#REF!</definedName>
    <definedName name="ii" localSheetId="9">#REF!</definedName>
    <definedName name="ii" localSheetId="10">#REF!</definedName>
    <definedName name="ii" localSheetId="19">#REF!</definedName>
    <definedName name="ii" localSheetId="20">#REF!</definedName>
    <definedName name="ii" localSheetId="6">#REF!</definedName>
    <definedName name="ii" localSheetId="11">#REF!</definedName>
    <definedName name="ii" localSheetId="12">#REF!</definedName>
    <definedName name="ii" localSheetId="13">#REF!</definedName>
    <definedName name="ii">#REF!</definedName>
    <definedName name="index_number" localSheetId="0">#REF!</definedName>
    <definedName name="index_number" localSheetId="1">#REF!</definedName>
    <definedName name="index_number" localSheetId="30">#REF!</definedName>
    <definedName name="index_number" localSheetId="14">#REF!</definedName>
    <definedName name="index_number" localSheetId="16">#REF!</definedName>
    <definedName name="index_number" localSheetId="7">#REF!</definedName>
    <definedName name="index_number" localSheetId="8">#REF!</definedName>
    <definedName name="index_number" localSheetId="9">#REF!</definedName>
    <definedName name="index_number" localSheetId="10">#REF!</definedName>
    <definedName name="index_number" localSheetId="19">#REF!</definedName>
    <definedName name="index_number" localSheetId="20">#REF!</definedName>
    <definedName name="index_number" localSheetId="6">#REF!</definedName>
    <definedName name="index_number" localSheetId="11">#REF!</definedName>
    <definedName name="index_number" localSheetId="12">#REF!</definedName>
    <definedName name="index_number" localSheetId="13">#REF!</definedName>
    <definedName name="index_number">#REF!</definedName>
    <definedName name="IndexBox1" localSheetId="1">[3]Form1!$AM$78</definedName>
    <definedName name="IndexBox1" localSheetId="30">[3]Form1!$AM$78</definedName>
    <definedName name="IndexBox1">[4]Form1!$AM$78</definedName>
    <definedName name="IndexBox2" localSheetId="1">[3]Form1!$AM$88</definedName>
    <definedName name="IndexBox2" localSheetId="30">[3]Form1!$AM$88</definedName>
    <definedName name="IndexBox2">[4]Form1!$AM$88</definedName>
    <definedName name="IndexBox3" localSheetId="1">[3]Form1!$AM$97</definedName>
    <definedName name="IndexBox3" localSheetId="30">[3]Form1!$AM$97</definedName>
    <definedName name="IndexBox3">[4]Form1!$AM$97</definedName>
    <definedName name="IndexBox4" localSheetId="1">[3]Form1!$AM$106</definedName>
    <definedName name="IndexBox4" localSheetId="30">[3]Form1!$AM$106</definedName>
    <definedName name="IndexBox4">[4]Form1!$AM$106</definedName>
    <definedName name="input10" localSheetId="1">#REF!</definedName>
    <definedName name="input10" localSheetId="30">#REF!</definedName>
    <definedName name="input11" localSheetId="1">#REF!</definedName>
    <definedName name="input11" localSheetId="30">#REF!</definedName>
    <definedName name="input12" localSheetId="1">#REF!</definedName>
    <definedName name="input12" localSheetId="30">#REF!</definedName>
    <definedName name="input120" localSheetId="1">#REF!</definedName>
    <definedName name="input120" localSheetId="30">#REF!</definedName>
    <definedName name="input13" localSheetId="1">#REF!</definedName>
    <definedName name="input13" localSheetId="30">#REF!</definedName>
    <definedName name="input14" localSheetId="1">#REF!</definedName>
    <definedName name="input14" localSheetId="30">#REF!</definedName>
    <definedName name="input15" localSheetId="1">#REF!</definedName>
    <definedName name="input15" localSheetId="30">#REF!</definedName>
    <definedName name="input16" localSheetId="1">#REF!</definedName>
    <definedName name="input16" localSheetId="30">#REF!</definedName>
    <definedName name="input17" localSheetId="1">#REF!</definedName>
    <definedName name="input17" localSheetId="30">#REF!</definedName>
    <definedName name="input2" localSheetId="1">#REF!</definedName>
    <definedName name="input2" localSheetId="30">#REF!</definedName>
    <definedName name="input3" localSheetId="1">#REF!</definedName>
    <definedName name="input3" localSheetId="30">#REF!</definedName>
    <definedName name="input4" localSheetId="1">#REF!</definedName>
    <definedName name="input4" localSheetId="30">#REF!</definedName>
    <definedName name="input5" localSheetId="1">#REF!</definedName>
    <definedName name="input5" localSheetId="30">#REF!</definedName>
    <definedName name="input6" localSheetId="1">#REF!</definedName>
    <definedName name="input6" localSheetId="30">#REF!</definedName>
    <definedName name="input7" localSheetId="1">#REF!</definedName>
    <definedName name="input7" localSheetId="30">#REF!</definedName>
    <definedName name="input8" localSheetId="1">#REF!</definedName>
    <definedName name="input8" localSheetId="30">#REF!</definedName>
    <definedName name="input9" localSheetId="1">#REF!</definedName>
    <definedName name="input9" localSheetId="30">#REF!</definedName>
    <definedName name="ITEM1.1" localSheetId="0">#REF!</definedName>
    <definedName name="ITEM1.1" localSheetId="1">#REF!</definedName>
    <definedName name="ITEM1.1" localSheetId="30">#REF!</definedName>
    <definedName name="ITEM1.1" localSheetId="14">#REF!</definedName>
    <definedName name="ITEM1.1" localSheetId="16">#REF!</definedName>
    <definedName name="ITEM1.1" localSheetId="7">#REF!</definedName>
    <definedName name="ITEM1.1" localSheetId="8">#REF!</definedName>
    <definedName name="ITEM1.1" localSheetId="9">#REF!</definedName>
    <definedName name="ITEM1.1" localSheetId="10">#REF!</definedName>
    <definedName name="ITEM1.1" localSheetId="19">#REF!</definedName>
    <definedName name="ITEM1.1" localSheetId="20">#REF!</definedName>
    <definedName name="ITEM1.1" localSheetId="6">#REF!</definedName>
    <definedName name="ITEM1.1" localSheetId="11">#REF!</definedName>
    <definedName name="ITEM1.1" localSheetId="12">#REF!</definedName>
    <definedName name="ITEM1.1" localSheetId="13">#REF!</definedName>
    <definedName name="ITEM1.1">#REF!</definedName>
    <definedName name="ITEM1.2" localSheetId="0">#REF!</definedName>
    <definedName name="ITEM1.2" localSheetId="1">#REF!</definedName>
    <definedName name="ITEM1.2" localSheetId="30">#REF!</definedName>
    <definedName name="ITEM1.2" localSheetId="14">#REF!</definedName>
    <definedName name="ITEM1.2" localSheetId="16">#REF!</definedName>
    <definedName name="ITEM1.2" localSheetId="7">#REF!</definedName>
    <definedName name="ITEM1.2" localSheetId="8">#REF!</definedName>
    <definedName name="ITEM1.2" localSheetId="9">#REF!</definedName>
    <definedName name="ITEM1.2" localSheetId="10">#REF!</definedName>
    <definedName name="ITEM1.2" localSheetId="19">#REF!</definedName>
    <definedName name="ITEM1.2" localSheetId="20">#REF!</definedName>
    <definedName name="ITEM1.2" localSheetId="6">#REF!</definedName>
    <definedName name="ITEM1.2" localSheetId="11">#REF!</definedName>
    <definedName name="ITEM1.2" localSheetId="12">#REF!</definedName>
    <definedName name="ITEM1.2" localSheetId="13">#REF!</definedName>
    <definedName name="ITEM1.2">#REF!</definedName>
    <definedName name="ITEM1.3.1" localSheetId="0">#REF!</definedName>
    <definedName name="ITEM1.3.1" localSheetId="1">#REF!</definedName>
    <definedName name="ITEM1.3.1" localSheetId="30">#REF!</definedName>
    <definedName name="ITEM1.3.1" localSheetId="14">#REF!</definedName>
    <definedName name="ITEM1.3.1" localSheetId="16">#REF!</definedName>
    <definedName name="ITEM1.3.1" localSheetId="7">#REF!</definedName>
    <definedName name="ITEM1.3.1" localSheetId="8">#REF!</definedName>
    <definedName name="ITEM1.3.1" localSheetId="9">#REF!</definedName>
    <definedName name="ITEM1.3.1" localSheetId="10">#REF!</definedName>
    <definedName name="ITEM1.3.1" localSheetId="19">#REF!</definedName>
    <definedName name="ITEM1.3.1" localSheetId="20">#REF!</definedName>
    <definedName name="ITEM1.3.1" localSheetId="6">#REF!</definedName>
    <definedName name="ITEM1.3.1" localSheetId="11">#REF!</definedName>
    <definedName name="ITEM1.3.1" localSheetId="12">#REF!</definedName>
    <definedName name="ITEM1.3.1" localSheetId="13">#REF!</definedName>
    <definedName name="ITEM1.3.1">#REF!</definedName>
    <definedName name="ITEM1.3.2" localSheetId="0">#REF!</definedName>
    <definedName name="ITEM1.3.2" localSheetId="1">#REF!</definedName>
    <definedName name="ITEM1.3.2" localSheetId="30">#REF!</definedName>
    <definedName name="ITEM1.3.2" localSheetId="14">#REF!</definedName>
    <definedName name="ITEM1.3.2" localSheetId="16">#REF!</definedName>
    <definedName name="ITEM1.3.2" localSheetId="7">#REF!</definedName>
    <definedName name="ITEM1.3.2" localSheetId="8">#REF!</definedName>
    <definedName name="ITEM1.3.2" localSheetId="9">#REF!</definedName>
    <definedName name="ITEM1.3.2" localSheetId="10">#REF!</definedName>
    <definedName name="ITEM1.3.2" localSheetId="19">#REF!</definedName>
    <definedName name="ITEM1.3.2" localSheetId="20">#REF!</definedName>
    <definedName name="ITEM1.3.2" localSheetId="6">#REF!</definedName>
    <definedName name="ITEM1.3.2" localSheetId="11">#REF!</definedName>
    <definedName name="ITEM1.3.2" localSheetId="12">#REF!</definedName>
    <definedName name="ITEM1.3.2" localSheetId="13">#REF!</definedName>
    <definedName name="ITEM1.3.2">#REF!</definedName>
    <definedName name="ITEM1.3.3" localSheetId="0">#REF!</definedName>
    <definedName name="ITEM1.3.3" localSheetId="1">#REF!</definedName>
    <definedName name="ITEM1.3.3" localSheetId="30">#REF!</definedName>
    <definedName name="ITEM1.3.3" localSheetId="14">#REF!</definedName>
    <definedName name="ITEM1.3.3" localSheetId="16">#REF!</definedName>
    <definedName name="ITEM1.3.3" localSheetId="7">#REF!</definedName>
    <definedName name="ITEM1.3.3" localSheetId="8">#REF!</definedName>
    <definedName name="ITEM1.3.3" localSheetId="9">#REF!</definedName>
    <definedName name="ITEM1.3.3" localSheetId="10">#REF!</definedName>
    <definedName name="ITEM1.3.3" localSheetId="19">#REF!</definedName>
    <definedName name="ITEM1.3.3" localSheetId="20">#REF!</definedName>
    <definedName name="ITEM1.3.3" localSheetId="6">#REF!</definedName>
    <definedName name="ITEM1.3.3" localSheetId="11">#REF!</definedName>
    <definedName name="ITEM1.3.3" localSheetId="12">#REF!</definedName>
    <definedName name="ITEM1.3.3" localSheetId="13">#REF!</definedName>
    <definedName name="ITEM1.3.3">#REF!</definedName>
    <definedName name="ITEM1.3.4" localSheetId="0">#REF!</definedName>
    <definedName name="ITEM1.3.4" localSheetId="1">#REF!</definedName>
    <definedName name="ITEM1.3.4" localSheetId="30">#REF!</definedName>
    <definedName name="ITEM1.3.4" localSheetId="14">#REF!</definedName>
    <definedName name="ITEM1.3.4" localSheetId="16">#REF!</definedName>
    <definedName name="ITEM1.3.4" localSheetId="7">#REF!</definedName>
    <definedName name="ITEM1.3.4" localSheetId="8">#REF!</definedName>
    <definedName name="ITEM1.3.4" localSheetId="9">#REF!</definedName>
    <definedName name="ITEM1.3.4" localSheetId="10">#REF!</definedName>
    <definedName name="ITEM1.3.4" localSheetId="19">#REF!</definedName>
    <definedName name="ITEM1.3.4" localSheetId="20">#REF!</definedName>
    <definedName name="ITEM1.3.4" localSheetId="6">#REF!</definedName>
    <definedName name="ITEM1.3.4" localSheetId="11">#REF!</definedName>
    <definedName name="ITEM1.3.4" localSheetId="12">#REF!</definedName>
    <definedName name="ITEM1.3.4" localSheetId="13">#REF!</definedName>
    <definedName name="ITEM1.3.4">#REF!</definedName>
    <definedName name="ITEM1.3.5" localSheetId="0">#REF!</definedName>
    <definedName name="ITEM1.3.5" localSheetId="1">#REF!</definedName>
    <definedName name="ITEM1.3.5" localSheetId="30">#REF!</definedName>
    <definedName name="ITEM1.3.5" localSheetId="14">#REF!</definedName>
    <definedName name="ITEM1.3.5" localSheetId="16">#REF!</definedName>
    <definedName name="ITEM1.3.5" localSheetId="7">#REF!</definedName>
    <definedName name="ITEM1.3.5" localSheetId="8">#REF!</definedName>
    <definedName name="ITEM1.3.5" localSheetId="9">#REF!</definedName>
    <definedName name="ITEM1.3.5" localSheetId="10">#REF!</definedName>
    <definedName name="ITEM1.3.5" localSheetId="19">#REF!</definedName>
    <definedName name="ITEM1.3.5" localSheetId="20">#REF!</definedName>
    <definedName name="ITEM1.3.5" localSheetId="6">#REF!</definedName>
    <definedName name="ITEM1.3.5" localSheetId="11">#REF!</definedName>
    <definedName name="ITEM1.3.5" localSheetId="12">#REF!</definedName>
    <definedName name="ITEM1.3.5" localSheetId="13">#REF!</definedName>
    <definedName name="ITEM1.3.5">#REF!</definedName>
    <definedName name="ITEM1.3.6" localSheetId="0">#REF!</definedName>
    <definedName name="ITEM1.3.6" localSheetId="1">#REF!</definedName>
    <definedName name="ITEM1.3.6" localSheetId="30">#REF!</definedName>
    <definedName name="ITEM1.3.6" localSheetId="14">#REF!</definedName>
    <definedName name="ITEM1.3.6" localSheetId="16">#REF!</definedName>
    <definedName name="ITEM1.3.6" localSheetId="7">#REF!</definedName>
    <definedName name="ITEM1.3.6" localSheetId="8">#REF!</definedName>
    <definedName name="ITEM1.3.6" localSheetId="9">#REF!</definedName>
    <definedName name="ITEM1.3.6" localSheetId="10">#REF!</definedName>
    <definedName name="ITEM1.3.6" localSheetId="19">#REF!</definedName>
    <definedName name="ITEM1.3.6" localSheetId="20">#REF!</definedName>
    <definedName name="ITEM1.3.6" localSheetId="6">#REF!</definedName>
    <definedName name="ITEM1.3.6" localSheetId="11">#REF!</definedName>
    <definedName name="ITEM1.3.6" localSheetId="12">#REF!</definedName>
    <definedName name="ITEM1.3.6" localSheetId="13">#REF!</definedName>
    <definedName name="ITEM1.3.6">#REF!</definedName>
    <definedName name="ITEM1.3.7" localSheetId="0">#REF!</definedName>
    <definedName name="ITEM1.3.7" localSheetId="1">#REF!</definedName>
    <definedName name="ITEM1.3.7" localSheetId="30">#REF!</definedName>
    <definedName name="ITEM1.3.7" localSheetId="14">#REF!</definedName>
    <definedName name="ITEM1.3.7" localSheetId="16">#REF!</definedName>
    <definedName name="ITEM1.3.7" localSheetId="7">#REF!</definedName>
    <definedName name="ITEM1.3.7" localSheetId="8">#REF!</definedName>
    <definedName name="ITEM1.3.7" localSheetId="9">#REF!</definedName>
    <definedName name="ITEM1.3.7" localSheetId="10">#REF!</definedName>
    <definedName name="ITEM1.3.7" localSheetId="19">#REF!</definedName>
    <definedName name="ITEM1.3.7" localSheetId="20">#REF!</definedName>
    <definedName name="ITEM1.3.7" localSheetId="6">#REF!</definedName>
    <definedName name="ITEM1.3.7" localSheetId="11">#REF!</definedName>
    <definedName name="ITEM1.3.7" localSheetId="12">#REF!</definedName>
    <definedName name="ITEM1.3.7" localSheetId="13">#REF!</definedName>
    <definedName name="ITEM1.3.7">#REF!</definedName>
    <definedName name="ITEM1.3.8" localSheetId="0">#REF!</definedName>
    <definedName name="ITEM1.3.8" localSheetId="1">#REF!</definedName>
    <definedName name="ITEM1.3.8" localSheetId="30">#REF!</definedName>
    <definedName name="ITEM1.3.8" localSheetId="14">#REF!</definedName>
    <definedName name="ITEM1.3.8" localSheetId="16">#REF!</definedName>
    <definedName name="ITEM1.3.8" localSheetId="7">#REF!</definedName>
    <definedName name="ITEM1.3.8" localSheetId="8">#REF!</definedName>
    <definedName name="ITEM1.3.8" localSheetId="9">#REF!</definedName>
    <definedName name="ITEM1.3.8" localSheetId="10">#REF!</definedName>
    <definedName name="ITEM1.3.8" localSheetId="19">#REF!</definedName>
    <definedName name="ITEM1.3.8" localSheetId="20">#REF!</definedName>
    <definedName name="ITEM1.3.8" localSheetId="6">#REF!</definedName>
    <definedName name="ITEM1.3.8" localSheetId="11">#REF!</definedName>
    <definedName name="ITEM1.3.8" localSheetId="12">#REF!</definedName>
    <definedName name="ITEM1.3.8" localSheetId="13">#REF!</definedName>
    <definedName name="ITEM1.3.8">#REF!</definedName>
    <definedName name="ITEM1.4.1" localSheetId="0">#REF!</definedName>
    <definedName name="ITEM1.4.1" localSheetId="1">#REF!</definedName>
    <definedName name="ITEM1.4.1" localSheetId="30">#REF!</definedName>
    <definedName name="ITEM1.4.1" localSheetId="14">#REF!</definedName>
    <definedName name="ITEM1.4.1" localSheetId="16">#REF!</definedName>
    <definedName name="ITEM1.4.1" localSheetId="7">#REF!</definedName>
    <definedName name="ITEM1.4.1" localSheetId="8">#REF!</definedName>
    <definedName name="ITEM1.4.1" localSheetId="9">#REF!</definedName>
    <definedName name="ITEM1.4.1" localSheetId="10">#REF!</definedName>
    <definedName name="ITEM1.4.1" localSheetId="19">#REF!</definedName>
    <definedName name="ITEM1.4.1" localSheetId="20">#REF!</definedName>
    <definedName name="ITEM1.4.1" localSheetId="6">#REF!</definedName>
    <definedName name="ITEM1.4.1" localSheetId="11">#REF!</definedName>
    <definedName name="ITEM1.4.1" localSheetId="12">#REF!</definedName>
    <definedName name="ITEM1.4.1" localSheetId="13">#REF!</definedName>
    <definedName name="ITEM1.4.1">#REF!</definedName>
    <definedName name="ITEM1.5" localSheetId="0">#REF!</definedName>
    <definedName name="ITEM1.5" localSheetId="1">#REF!</definedName>
    <definedName name="ITEM1.5" localSheetId="30">#REF!</definedName>
    <definedName name="ITEM1.5" localSheetId="14">#REF!</definedName>
    <definedName name="ITEM1.5" localSheetId="16">#REF!</definedName>
    <definedName name="ITEM1.5" localSheetId="7">#REF!</definedName>
    <definedName name="ITEM1.5" localSheetId="8">#REF!</definedName>
    <definedName name="ITEM1.5" localSheetId="9">#REF!</definedName>
    <definedName name="ITEM1.5" localSheetId="10">#REF!</definedName>
    <definedName name="ITEM1.5" localSheetId="19">#REF!</definedName>
    <definedName name="ITEM1.5" localSheetId="20">#REF!</definedName>
    <definedName name="ITEM1.5" localSheetId="6">#REF!</definedName>
    <definedName name="ITEM1.5" localSheetId="11">#REF!</definedName>
    <definedName name="ITEM1.5" localSheetId="12">#REF!</definedName>
    <definedName name="ITEM1.5" localSheetId="13">#REF!</definedName>
    <definedName name="ITEM1.5">#REF!</definedName>
    <definedName name="ITEM2.1" localSheetId="0">#REF!</definedName>
    <definedName name="ITEM2.1" localSheetId="1">#REF!</definedName>
    <definedName name="ITEM2.1" localSheetId="30">#REF!</definedName>
    <definedName name="ITEM2.1" localSheetId="14">#REF!</definedName>
    <definedName name="ITEM2.1" localSheetId="16">#REF!</definedName>
    <definedName name="ITEM2.1" localSheetId="7">#REF!</definedName>
    <definedName name="ITEM2.1" localSheetId="8">#REF!</definedName>
    <definedName name="ITEM2.1" localSheetId="9">#REF!</definedName>
    <definedName name="ITEM2.1" localSheetId="10">#REF!</definedName>
    <definedName name="ITEM2.1" localSheetId="19">#REF!</definedName>
    <definedName name="ITEM2.1" localSheetId="20">#REF!</definedName>
    <definedName name="ITEM2.1" localSheetId="6">#REF!</definedName>
    <definedName name="ITEM2.1" localSheetId="11">#REF!</definedName>
    <definedName name="ITEM2.1" localSheetId="12">#REF!</definedName>
    <definedName name="ITEM2.1" localSheetId="13">#REF!</definedName>
    <definedName name="ITEM2.1">#REF!</definedName>
    <definedName name="ITEM2.2.1" localSheetId="0">#REF!</definedName>
    <definedName name="ITEM2.2.1" localSheetId="1">#REF!</definedName>
    <definedName name="ITEM2.2.1" localSheetId="30">#REF!</definedName>
    <definedName name="ITEM2.2.1" localSheetId="14">#REF!</definedName>
    <definedName name="ITEM2.2.1" localSheetId="16">#REF!</definedName>
    <definedName name="ITEM2.2.1" localSheetId="7">#REF!</definedName>
    <definedName name="ITEM2.2.1" localSheetId="8">#REF!</definedName>
    <definedName name="ITEM2.2.1" localSheetId="9">#REF!</definedName>
    <definedName name="ITEM2.2.1" localSheetId="10">#REF!</definedName>
    <definedName name="ITEM2.2.1" localSheetId="19">#REF!</definedName>
    <definedName name="ITEM2.2.1" localSheetId="20">#REF!</definedName>
    <definedName name="ITEM2.2.1" localSheetId="6">#REF!</definedName>
    <definedName name="ITEM2.2.1" localSheetId="11">#REF!</definedName>
    <definedName name="ITEM2.2.1" localSheetId="12">#REF!</definedName>
    <definedName name="ITEM2.2.1" localSheetId="13">#REF!</definedName>
    <definedName name="ITEM2.2.1">#REF!</definedName>
    <definedName name="ITEM2.2.2" localSheetId="0">#REF!</definedName>
    <definedName name="ITEM2.2.2" localSheetId="1">#REF!</definedName>
    <definedName name="ITEM2.2.2" localSheetId="30">#REF!</definedName>
    <definedName name="ITEM2.2.2" localSheetId="14">#REF!</definedName>
    <definedName name="ITEM2.2.2" localSheetId="16">#REF!</definedName>
    <definedName name="ITEM2.2.2" localSheetId="7">#REF!</definedName>
    <definedName name="ITEM2.2.2" localSheetId="8">#REF!</definedName>
    <definedName name="ITEM2.2.2" localSheetId="9">#REF!</definedName>
    <definedName name="ITEM2.2.2" localSheetId="10">#REF!</definedName>
    <definedName name="ITEM2.2.2" localSheetId="19">#REF!</definedName>
    <definedName name="ITEM2.2.2" localSheetId="20">#REF!</definedName>
    <definedName name="ITEM2.2.2" localSheetId="6">#REF!</definedName>
    <definedName name="ITEM2.2.2" localSheetId="11">#REF!</definedName>
    <definedName name="ITEM2.2.2" localSheetId="12">#REF!</definedName>
    <definedName name="ITEM2.2.2" localSheetId="13">#REF!</definedName>
    <definedName name="ITEM2.2.2">#REF!</definedName>
    <definedName name="ITEM2.2.3" localSheetId="0">#REF!</definedName>
    <definedName name="ITEM2.2.3" localSheetId="1">#REF!</definedName>
    <definedName name="ITEM2.2.3" localSheetId="30">#REF!</definedName>
    <definedName name="ITEM2.2.3" localSheetId="14">#REF!</definedName>
    <definedName name="ITEM2.2.3" localSheetId="16">#REF!</definedName>
    <definedName name="ITEM2.2.3" localSheetId="7">#REF!</definedName>
    <definedName name="ITEM2.2.3" localSheetId="8">#REF!</definedName>
    <definedName name="ITEM2.2.3" localSheetId="9">#REF!</definedName>
    <definedName name="ITEM2.2.3" localSheetId="10">#REF!</definedName>
    <definedName name="ITEM2.2.3" localSheetId="19">#REF!</definedName>
    <definedName name="ITEM2.2.3" localSheetId="20">#REF!</definedName>
    <definedName name="ITEM2.2.3" localSheetId="6">#REF!</definedName>
    <definedName name="ITEM2.2.3" localSheetId="11">#REF!</definedName>
    <definedName name="ITEM2.2.3" localSheetId="12">#REF!</definedName>
    <definedName name="ITEM2.2.3" localSheetId="13">#REF!</definedName>
    <definedName name="ITEM2.2.3">#REF!</definedName>
    <definedName name="ITEM2.2.3.4" localSheetId="1">'[43]41.EXCAVATION'!#REF!</definedName>
    <definedName name="ITEM2.2.3.4" localSheetId="30">'[43]41.EXCAVATION'!#REF!</definedName>
    <definedName name="ITEM2.2.3.4">'[43]41.EXCAVATION'!#REF!</definedName>
    <definedName name="ITEM2.2.4" localSheetId="0">#REF!</definedName>
    <definedName name="ITEM2.2.4" localSheetId="1">#REF!</definedName>
    <definedName name="ITEM2.2.4" localSheetId="30">#REF!</definedName>
    <definedName name="ITEM2.2.4" localSheetId="14">#REF!</definedName>
    <definedName name="ITEM2.2.4" localSheetId="16">#REF!</definedName>
    <definedName name="ITEM2.2.4" localSheetId="7">#REF!</definedName>
    <definedName name="ITEM2.2.4" localSheetId="8">#REF!</definedName>
    <definedName name="ITEM2.2.4" localSheetId="9">#REF!</definedName>
    <definedName name="ITEM2.2.4" localSheetId="10">#REF!</definedName>
    <definedName name="ITEM2.2.4" localSheetId="19">#REF!</definedName>
    <definedName name="ITEM2.2.4" localSheetId="20">#REF!</definedName>
    <definedName name="ITEM2.2.4" localSheetId="6">#REF!</definedName>
    <definedName name="ITEM2.2.4" localSheetId="11">#REF!</definedName>
    <definedName name="ITEM2.2.4" localSheetId="12">#REF!</definedName>
    <definedName name="ITEM2.2.4" localSheetId="13">#REF!</definedName>
    <definedName name="ITEM2.2.4">#REF!</definedName>
    <definedName name="ITEM2.2.5" localSheetId="0">#REF!</definedName>
    <definedName name="ITEM2.2.5" localSheetId="1">#REF!</definedName>
    <definedName name="ITEM2.2.5" localSheetId="30">#REF!</definedName>
    <definedName name="ITEM2.2.5" localSheetId="14">#REF!</definedName>
    <definedName name="ITEM2.2.5" localSheetId="16">#REF!</definedName>
    <definedName name="ITEM2.2.5" localSheetId="7">#REF!</definedName>
    <definedName name="ITEM2.2.5" localSheetId="8">#REF!</definedName>
    <definedName name="ITEM2.2.5" localSheetId="9">#REF!</definedName>
    <definedName name="ITEM2.2.5" localSheetId="10">#REF!</definedName>
    <definedName name="ITEM2.2.5" localSheetId="19">#REF!</definedName>
    <definedName name="ITEM2.2.5" localSheetId="20">#REF!</definedName>
    <definedName name="ITEM2.2.5" localSheetId="6">#REF!</definedName>
    <definedName name="ITEM2.2.5" localSheetId="11">#REF!</definedName>
    <definedName name="ITEM2.2.5" localSheetId="12">#REF!</definedName>
    <definedName name="ITEM2.2.5" localSheetId="13">#REF!</definedName>
    <definedName name="ITEM2.2.5">#REF!</definedName>
    <definedName name="ITEM2.3.1" localSheetId="1">'[44]8Unsui+Soft'!#REF!</definedName>
    <definedName name="ITEM2.3.1" localSheetId="30">'[44]8Unsui+Soft'!#REF!</definedName>
    <definedName name="ITEM2.3.1">'[45]8Unsui+Soft'!#REF!</definedName>
    <definedName name="ITEM2.3.2" localSheetId="0">#REF!</definedName>
    <definedName name="ITEM2.3.2" localSheetId="1">#REF!</definedName>
    <definedName name="ITEM2.3.2" localSheetId="30">#REF!</definedName>
    <definedName name="ITEM2.3.2" localSheetId="14">#REF!</definedName>
    <definedName name="ITEM2.3.2" localSheetId="16">#REF!</definedName>
    <definedName name="ITEM2.3.2" localSheetId="7">#REF!</definedName>
    <definedName name="ITEM2.3.2" localSheetId="8">#REF!</definedName>
    <definedName name="ITEM2.3.2" localSheetId="9">#REF!</definedName>
    <definedName name="ITEM2.3.2" localSheetId="10">#REF!</definedName>
    <definedName name="ITEM2.3.2" localSheetId="19">#REF!</definedName>
    <definedName name="ITEM2.3.2" localSheetId="20">#REF!</definedName>
    <definedName name="ITEM2.3.2" localSheetId="6">#REF!</definedName>
    <definedName name="ITEM2.3.2" localSheetId="11">#REF!</definedName>
    <definedName name="ITEM2.3.2" localSheetId="12">#REF!</definedName>
    <definedName name="ITEM2.3.2" localSheetId="13">#REF!</definedName>
    <definedName name="ITEM2.3.2">#REF!</definedName>
    <definedName name="ITEM2.3.4" localSheetId="0">#REF!</definedName>
    <definedName name="ITEM2.3.4" localSheetId="1">#REF!</definedName>
    <definedName name="ITEM2.3.4" localSheetId="30">#REF!</definedName>
    <definedName name="ITEM2.3.4" localSheetId="14">#REF!</definedName>
    <definedName name="ITEM2.3.4" localSheetId="16">#REF!</definedName>
    <definedName name="ITEM2.3.4" localSheetId="7">#REF!</definedName>
    <definedName name="ITEM2.3.4" localSheetId="8">#REF!</definedName>
    <definedName name="ITEM2.3.4" localSheetId="9">#REF!</definedName>
    <definedName name="ITEM2.3.4" localSheetId="10">#REF!</definedName>
    <definedName name="ITEM2.3.4" localSheetId="19">#REF!</definedName>
    <definedName name="ITEM2.3.4" localSheetId="20">#REF!</definedName>
    <definedName name="ITEM2.3.4" localSheetId="6">#REF!</definedName>
    <definedName name="ITEM2.3.4" localSheetId="11">#REF!</definedName>
    <definedName name="ITEM2.3.4" localSheetId="12">#REF!</definedName>
    <definedName name="ITEM2.3.4" localSheetId="13">#REF!</definedName>
    <definedName name="ITEM2.3.4">#REF!</definedName>
    <definedName name="ITEM2.3.5" localSheetId="0">#REF!</definedName>
    <definedName name="ITEM2.3.5" localSheetId="1">#REF!</definedName>
    <definedName name="ITEM2.3.5" localSheetId="30">#REF!</definedName>
    <definedName name="ITEM2.3.5" localSheetId="14">#REF!</definedName>
    <definedName name="ITEM2.3.5" localSheetId="16">#REF!</definedName>
    <definedName name="ITEM2.3.5" localSheetId="7">#REF!</definedName>
    <definedName name="ITEM2.3.5" localSheetId="8">#REF!</definedName>
    <definedName name="ITEM2.3.5" localSheetId="9">#REF!</definedName>
    <definedName name="ITEM2.3.5" localSheetId="10">#REF!</definedName>
    <definedName name="ITEM2.3.5" localSheetId="19">#REF!</definedName>
    <definedName name="ITEM2.3.5" localSheetId="20">#REF!</definedName>
    <definedName name="ITEM2.3.5" localSheetId="6">#REF!</definedName>
    <definedName name="ITEM2.3.5" localSheetId="11">#REF!</definedName>
    <definedName name="ITEM2.3.5" localSheetId="12">#REF!</definedName>
    <definedName name="ITEM2.3.5" localSheetId="13">#REF!</definedName>
    <definedName name="ITEM2.3.5">#REF!</definedName>
    <definedName name="ITEM2.3.6" localSheetId="0">#REF!</definedName>
    <definedName name="ITEM2.3.6" localSheetId="1">#REF!</definedName>
    <definedName name="ITEM2.3.6" localSheetId="30">#REF!</definedName>
    <definedName name="ITEM2.3.6" localSheetId="14">#REF!</definedName>
    <definedName name="ITEM2.3.6" localSheetId="16">#REF!</definedName>
    <definedName name="ITEM2.3.6" localSheetId="7">#REF!</definedName>
    <definedName name="ITEM2.3.6" localSheetId="8">#REF!</definedName>
    <definedName name="ITEM2.3.6" localSheetId="9">#REF!</definedName>
    <definedName name="ITEM2.3.6" localSheetId="10">#REF!</definedName>
    <definedName name="ITEM2.3.6" localSheetId="19">#REF!</definedName>
    <definedName name="ITEM2.3.6" localSheetId="20">#REF!</definedName>
    <definedName name="ITEM2.3.6" localSheetId="6">#REF!</definedName>
    <definedName name="ITEM2.3.6" localSheetId="11">#REF!</definedName>
    <definedName name="ITEM2.3.6" localSheetId="12">#REF!</definedName>
    <definedName name="ITEM2.3.6" localSheetId="13">#REF!</definedName>
    <definedName name="ITEM2.3.6">#REF!</definedName>
    <definedName name="ITEM2.4.1" localSheetId="0">#REF!</definedName>
    <definedName name="ITEM2.4.1" localSheetId="1">#REF!</definedName>
    <definedName name="ITEM2.4.1" localSheetId="30">#REF!</definedName>
    <definedName name="ITEM2.4.1" localSheetId="14">#REF!</definedName>
    <definedName name="ITEM2.4.1" localSheetId="16">#REF!</definedName>
    <definedName name="ITEM2.4.1" localSheetId="7">#REF!</definedName>
    <definedName name="ITEM2.4.1" localSheetId="8">#REF!</definedName>
    <definedName name="ITEM2.4.1" localSheetId="9">#REF!</definedName>
    <definedName name="ITEM2.4.1" localSheetId="10">#REF!</definedName>
    <definedName name="ITEM2.4.1" localSheetId="19">#REF!</definedName>
    <definedName name="ITEM2.4.1" localSheetId="20">#REF!</definedName>
    <definedName name="ITEM2.4.1" localSheetId="6">#REF!</definedName>
    <definedName name="ITEM2.4.1" localSheetId="11">#REF!</definedName>
    <definedName name="ITEM2.4.1" localSheetId="12">#REF!</definedName>
    <definedName name="ITEM2.4.1" localSheetId="13">#REF!</definedName>
    <definedName name="ITEM2.4.1">#REF!</definedName>
    <definedName name="ITEM2.4.2" localSheetId="0">#REF!</definedName>
    <definedName name="ITEM2.4.2" localSheetId="1">#REF!</definedName>
    <definedName name="ITEM2.4.2" localSheetId="30">#REF!</definedName>
    <definedName name="ITEM2.4.2" localSheetId="14">#REF!</definedName>
    <definedName name="ITEM2.4.2" localSheetId="16">#REF!</definedName>
    <definedName name="ITEM2.4.2" localSheetId="7">#REF!</definedName>
    <definedName name="ITEM2.4.2" localSheetId="8">#REF!</definedName>
    <definedName name="ITEM2.4.2" localSheetId="9">#REF!</definedName>
    <definedName name="ITEM2.4.2" localSheetId="10">#REF!</definedName>
    <definedName name="ITEM2.4.2" localSheetId="19">#REF!</definedName>
    <definedName name="ITEM2.4.2" localSheetId="20">#REF!</definedName>
    <definedName name="ITEM2.4.2" localSheetId="6">#REF!</definedName>
    <definedName name="ITEM2.4.2" localSheetId="11">#REF!</definedName>
    <definedName name="ITEM2.4.2" localSheetId="12">#REF!</definedName>
    <definedName name="ITEM2.4.2" localSheetId="13">#REF!</definedName>
    <definedName name="ITEM2.4.2">#REF!</definedName>
    <definedName name="ITEM3.1.1" localSheetId="0">#REF!</definedName>
    <definedName name="ITEM3.1.1" localSheetId="1">#REF!</definedName>
    <definedName name="ITEM3.1.1" localSheetId="30">#REF!</definedName>
    <definedName name="ITEM3.1.1" localSheetId="14">#REF!</definedName>
    <definedName name="ITEM3.1.1" localSheetId="16">#REF!</definedName>
    <definedName name="ITEM3.1.1" localSheetId="7">#REF!</definedName>
    <definedName name="ITEM3.1.1" localSheetId="8">#REF!</definedName>
    <definedName name="ITEM3.1.1" localSheetId="9">#REF!</definedName>
    <definedName name="ITEM3.1.1" localSheetId="10">#REF!</definedName>
    <definedName name="ITEM3.1.1" localSheetId="19">#REF!</definedName>
    <definedName name="ITEM3.1.1" localSheetId="20">#REF!</definedName>
    <definedName name="ITEM3.1.1" localSheetId="6">#REF!</definedName>
    <definedName name="ITEM3.1.1" localSheetId="11">#REF!</definedName>
    <definedName name="ITEM3.1.1" localSheetId="12">#REF!</definedName>
    <definedName name="ITEM3.1.1" localSheetId="13">#REF!</definedName>
    <definedName name="ITEM3.1.1">#REF!</definedName>
    <definedName name="ITEM3.2.1" localSheetId="0">#REF!</definedName>
    <definedName name="ITEM3.2.1" localSheetId="1">#REF!</definedName>
    <definedName name="ITEM3.2.1" localSheetId="30">#REF!</definedName>
    <definedName name="ITEM3.2.1" localSheetId="14">#REF!</definedName>
    <definedName name="ITEM3.2.1" localSheetId="16">#REF!</definedName>
    <definedName name="ITEM3.2.1" localSheetId="7">#REF!</definedName>
    <definedName name="ITEM3.2.1" localSheetId="8">#REF!</definedName>
    <definedName name="ITEM3.2.1" localSheetId="9">#REF!</definedName>
    <definedName name="ITEM3.2.1" localSheetId="10">#REF!</definedName>
    <definedName name="ITEM3.2.1" localSheetId="19">#REF!</definedName>
    <definedName name="ITEM3.2.1" localSheetId="20">#REF!</definedName>
    <definedName name="ITEM3.2.1" localSheetId="6">#REF!</definedName>
    <definedName name="ITEM3.2.1" localSheetId="11">#REF!</definedName>
    <definedName name="ITEM3.2.1" localSheetId="12">#REF!</definedName>
    <definedName name="ITEM3.2.1" localSheetId="13">#REF!</definedName>
    <definedName name="ITEM3.2.1">#REF!</definedName>
    <definedName name="ITEM3.2.2" localSheetId="0">#REF!</definedName>
    <definedName name="ITEM3.2.2" localSheetId="1">#REF!</definedName>
    <definedName name="ITEM3.2.2" localSheetId="30">#REF!</definedName>
    <definedName name="ITEM3.2.2" localSheetId="14">#REF!</definedName>
    <definedName name="ITEM3.2.2" localSheetId="16">#REF!</definedName>
    <definedName name="ITEM3.2.2" localSheetId="7">#REF!</definedName>
    <definedName name="ITEM3.2.2" localSheetId="8">#REF!</definedName>
    <definedName name="ITEM3.2.2" localSheetId="9">#REF!</definedName>
    <definedName name="ITEM3.2.2" localSheetId="10">#REF!</definedName>
    <definedName name="ITEM3.2.2" localSheetId="19">#REF!</definedName>
    <definedName name="ITEM3.2.2" localSheetId="20">#REF!</definedName>
    <definedName name="ITEM3.2.2" localSheetId="6">#REF!</definedName>
    <definedName name="ITEM3.2.2" localSheetId="11">#REF!</definedName>
    <definedName name="ITEM3.2.2" localSheetId="12">#REF!</definedName>
    <definedName name="ITEM3.2.2" localSheetId="13">#REF!</definedName>
    <definedName name="ITEM3.2.2">#REF!</definedName>
    <definedName name="ITEM3.2.3" localSheetId="0">#REF!</definedName>
    <definedName name="ITEM3.2.3" localSheetId="1">#REF!</definedName>
    <definedName name="ITEM3.2.3" localSheetId="30">#REF!</definedName>
    <definedName name="ITEM3.2.3" localSheetId="14">#REF!</definedName>
    <definedName name="ITEM3.2.3" localSheetId="16">#REF!</definedName>
    <definedName name="ITEM3.2.3" localSheetId="7">#REF!</definedName>
    <definedName name="ITEM3.2.3" localSheetId="8">#REF!</definedName>
    <definedName name="ITEM3.2.3" localSheetId="9">#REF!</definedName>
    <definedName name="ITEM3.2.3" localSheetId="10">#REF!</definedName>
    <definedName name="ITEM3.2.3" localSheetId="19">#REF!</definedName>
    <definedName name="ITEM3.2.3" localSheetId="20">#REF!</definedName>
    <definedName name="ITEM3.2.3" localSheetId="6">#REF!</definedName>
    <definedName name="ITEM3.2.3" localSheetId="11">#REF!</definedName>
    <definedName name="ITEM3.2.3" localSheetId="12">#REF!</definedName>
    <definedName name="ITEM3.2.3" localSheetId="13">#REF!</definedName>
    <definedName name="ITEM3.2.3">#REF!</definedName>
    <definedName name="ITEM3.2.4" localSheetId="0">#REF!</definedName>
    <definedName name="ITEM3.2.4" localSheetId="1">#REF!</definedName>
    <definedName name="ITEM3.2.4" localSheetId="30">#REF!</definedName>
    <definedName name="ITEM3.2.4" localSheetId="14">#REF!</definedName>
    <definedName name="ITEM3.2.4" localSheetId="16">#REF!</definedName>
    <definedName name="ITEM3.2.4" localSheetId="7">#REF!</definedName>
    <definedName name="ITEM3.2.4" localSheetId="8">#REF!</definedName>
    <definedName name="ITEM3.2.4" localSheetId="9">#REF!</definedName>
    <definedName name="ITEM3.2.4" localSheetId="10">#REF!</definedName>
    <definedName name="ITEM3.2.4" localSheetId="19">#REF!</definedName>
    <definedName name="ITEM3.2.4" localSheetId="20">#REF!</definedName>
    <definedName name="ITEM3.2.4" localSheetId="6">#REF!</definedName>
    <definedName name="ITEM3.2.4" localSheetId="11">#REF!</definedName>
    <definedName name="ITEM3.2.4" localSheetId="12">#REF!</definedName>
    <definedName name="ITEM3.2.4" localSheetId="13">#REF!</definedName>
    <definedName name="ITEM3.2.4">#REF!</definedName>
    <definedName name="ITEM3.3.1" localSheetId="0">#REF!</definedName>
    <definedName name="ITEM3.3.1" localSheetId="1">#REF!</definedName>
    <definedName name="ITEM3.3.1" localSheetId="30">#REF!</definedName>
    <definedName name="ITEM3.3.1" localSheetId="14">#REF!</definedName>
    <definedName name="ITEM3.3.1" localSheetId="16">#REF!</definedName>
    <definedName name="ITEM3.3.1" localSheetId="7">#REF!</definedName>
    <definedName name="ITEM3.3.1" localSheetId="8">#REF!</definedName>
    <definedName name="ITEM3.3.1" localSheetId="9">#REF!</definedName>
    <definedName name="ITEM3.3.1" localSheetId="10">#REF!</definedName>
    <definedName name="ITEM3.3.1" localSheetId="19">#REF!</definedName>
    <definedName name="ITEM3.3.1" localSheetId="20">#REF!</definedName>
    <definedName name="ITEM3.3.1" localSheetId="6">#REF!</definedName>
    <definedName name="ITEM3.3.1" localSheetId="11">#REF!</definedName>
    <definedName name="ITEM3.3.1" localSheetId="12">#REF!</definedName>
    <definedName name="ITEM3.3.1" localSheetId="13">#REF!</definedName>
    <definedName name="ITEM3.3.1">#REF!</definedName>
    <definedName name="ITEM3.4.1" localSheetId="0">#REF!</definedName>
    <definedName name="ITEM3.4.1" localSheetId="1">#REF!</definedName>
    <definedName name="ITEM3.4.1" localSheetId="30">#REF!</definedName>
    <definedName name="ITEM3.4.1" localSheetId="14">#REF!</definedName>
    <definedName name="ITEM3.4.1" localSheetId="16">#REF!</definedName>
    <definedName name="ITEM3.4.1" localSheetId="7">#REF!</definedName>
    <definedName name="ITEM3.4.1" localSheetId="8">#REF!</definedName>
    <definedName name="ITEM3.4.1" localSheetId="9">#REF!</definedName>
    <definedName name="ITEM3.4.1" localSheetId="10">#REF!</definedName>
    <definedName name="ITEM3.4.1" localSheetId="19">#REF!</definedName>
    <definedName name="ITEM3.4.1" localSheetId="20">#REF!</definedName>
    <definedName name="ITEM3.4.1" localSheetId="6">#REF!</definedName>
    <definedName name="ITEM3.4.1" localSheetId="11">#REF!</definedName>
    <definedName name="ITEM3.4.1" localSheetId="12">#REF!</definedName>
    <definedName name="ITEM3.4.1" localSheetId="13">#REF!</definedName>
    <definedName name="ITEM3.4.1">#REF!</definedName>
    <definedName name="ITEM3.4.2" localSheetId="0">#REF!</definedName>
    <definedName name="ITEM3.4.2" localSheetId="1">#REF!</definedName>
    <definedName name="ITEM3.4.2" localSheetId="30">#REF!</definedName>
    <definedName name="ITEM3.4.2" localSheetId="14">#REF!</definedName>
    <definedName name="ITEM3.4.2" localSheetId="16">#REF!</definedName>
    <definedName name="ITEM3.4.2" localSheetId="7">#REF!</definedName>
    <definedName name="ITEM3.4.2" localSheetId="8">#REF!</definedName>
    <definedName name="ITEM3.4.2" localSheetId="9">#REF!</definedName>
    <definedName name="ITEM3.4.2" localSheetId="10">#REF!</definedName>
    <definedName name="ITEM3.4.2" localSheetId="19">#REF!</definedName>
    <definedName name="ITEM3.4.2" localSheetId="20">#REF!</definedName>
    <definedName name="ITEM3.4.2" localSheetId="6">#REF!</definedName>
    <definedName name="ITEM3.4.2" localSheetId="11">#REF!</definedName>
    <definedName name="ITEM3.4.2" localSheetId="12">#REF!</definedName>
    <definedName name="ITEM3.4.2" localSheetId="13">#REF!</definedName>
    <definedName name="ITEM3.4.2">#REF!</definedName>
    <definedName name="ITEM3.5" localSheetId="0">#REF!</definedName>
    <definedName name="ITEM3.5" localSheetId="1">#REF!</definedName>
    <definedName name="ITEM3.5" localSheetId="30">#REF!</definedName>
    <definedName name="ITEM3.5" localSheetId="14">#REF!</definedName>
    <definedName name="ITEM3.5" localSheetId="16">#REF!</definedName>
    <definedName name="ITEM3.5" localSheetId="7">#REF!</definedName>
    <definedName name="ITEM3.5" localSheetId="8">#REF!</definedName>
    <definedName name="ITEM3.5" localSheetId="9">#REF!</definedName>
    <definedName name="ITEM3.5" localSheetId="10">#REF!</definedName>
    <definedName name="ITEM3.5" localSheetId="19">#REF!</definedName>
    <definedName name="ITEM3.5" localSheetId="20">#REF!</definedName>
    <definedName name="ITEM3.5" localSheetId="6">#REF!</definedName>
    <definedName name="ITEM3.5" localSheetId="11">#REF!</definedName>
    <definedName name="ITEM3.5" localSheetId="12">#REF!</definedName>
    <definedName name="ITEM3.5" localSheetId="13">#REF!</definedName>
    <definedName name="ITEM3.5">#REF!</definedName>
    <definedName name="ITEM3.6" localSheetId="0">#REF!</definedName>
    <definedName name="ITEM3.6" localSheetId="1">#REF!</definedName>
    <definedName name="ITEM3.6" localSheetId="30">#REF!</definedName>
    <definedName name="ITEM3.6" localSheetId="14">#REF!</definedName>
    <definedName name="ITEM3.6" localSheetId="16">#REF!</definedName>
    <definedName name="ITEM3.6" localSheetId="7">#REF!</definedName>
    <definedName name="ITEM3.6" localSheetId="8">#REF!</definedName>
    <definedName name="ITEM3.6" localSheetId="9">#REF!</definedName>
    <definedName name="ITEM3.6" localSheetId="10">#REF!</definedName>
    <definedName name="ITEM3.6" localSheetId="19">#REF!</definedName>
    <definedName name="ITEM3.6" localSheetId="20">#REF!</definedName>
    <definedName name="ITEM3.6" localSheetId="6">#REF!</definedName>
    <definedName name="ITEM3.6" localSheetId="11">#REF!</definedName>
    <definedName name="ITEM3.6" localSheetId="12">#REF!</definedName>
    <definedName name="ITEM3.6" localSheetId="13">#REF!</definedName>
    <definedName name="ITEM3.6">#REF!</definedName>
    <definedName name="ITEM4.1.1" localSheetId="0">#REF!</definedName>
    <definedName name="ITEM4.1.1" localSheetId="1">#REF!</definedName>
    <definedName name="ITEM4.1.1" localSheetId="30">#REF!</definedName>
    <definedName name="ITEM4.1.1" localSheetId="14">#REF!</definedName>
    <definedName name="ITEM4.1.1" localSheetId="16">#REF!</definedName>
    <definedName name="ITEM4.1.1" localSheetId="7">#REF!</definedName>
    <definedName name="ITEM4.1.1" localSheetId="8">#REF!</definedName>
    <definedName name="ITEM4.1.1" localSheetId="9">#REF!</definedName>
    <definedName name="ITEM4.1.1" localSheetId="10">#REF!</definedName>
    <definedName name="ITEM4.1.1" localSheetId="19">#REF!</definedName>
    <definedName name="ITEM4.1.1" localSheetId="20">#REF!</definedName>
    <definedName name="ITEM4.1.1" localSheetId="6">#REF!</definedName>
    <definedName name="ITEM4.1.1" localSheetId="11">#REF!</definedName>
    <definedName name="ITEM4.1.1" localSheetId="12">#REF!</definedName>
    <definedName name="ITEM4.1.1" localSheetId="13">#REF!</definedName>
    <definedName name="ITEM4.1.1">#REF!</definedName>
    <definedName name="ITEM4.1.2" localSheetId="0">#REF!</definedName>
    <definedName name="ITEM4.1.2" localSheetId="1">#REF!</definedName>
    <definedName name="ITEM4.1.2" localSheetId="30">#REF!</definedName>
    <definedName name="ITEM4.1.2" localSheetId="14">#REF!</definedName>
    <definedName name="ITEM4.1.2" localSheetId="16">#REF!</definedName>
    <definedName name="ITEM4.1.2" localSheetId="7">#REF!</definedName>
    <definedName name="ITEM4.1.2" localSheetId="8">#REF!</definedName>
    <definedName name="ITEM4.1.2" localSheetId="9">#REF!</definedName>
    <definedName name="ITEM4.1.2" localSheetId="10">#REF!</definedName>
    <definedName name="ITEM4.1.2" localSheetId="19">#REF!</definedName>
    <definedName name="ITEM4.1.2" localSheetId="20">#REF!</definedName>
    <definedName name="ITEM4.1.2" localSheetId="6">#REF!</definedName>
    <definedName name="ITEM4.1.2" localSheetId="11">#REF!</definedName>
    <definedName name="ITEM4.1.2" localSheetId="12">#REF!</definedName>
    <definedName name="ITEM4.1.2" localSheetId="13">#REF!</definedName>
    <definedName name="ITEM4.1.2">#REF!</definedName>
    <definedName name="ITEM4.2.1" localSheetId="0">#REF!</definedName>
    <definedName name="ITEM4.2.1" localSheetId="1">#REF!</definedName>
    <definedName name="ITEM4.2.1" localSheetId="30">#REF!</definedName>
    <definedName name="ITEM4.2.1" localSheetId="14">#REF!</definedName>
    <definedName name="ITEM4.2.1" localSheetId="16">#REF!</definedName>
    <definedName name="ITEM4.2.1" localSheetId="7">#REF!</definedName>
    <definedName name="ITEM4.2.1" localSheetId="8">#REF!</definedName>
    <definedName name="ITEM4.2.1" localSheetId="9">#REF!</definedName>
    <definedName name="ITEM4.2.1" localSheetId="10">#REF!</definedName>
    <definedName name="ITEM4.2.1" localSheetId="19">#REF!</definedName>
    <definedName name="ITEM4.2.1" localSheetId="20">#REF!</definedName>
    <definedName name="ITEM4.2.1" localSheetId="6">#REF!</definedName>
    <definedName name="ITEM4.2.1" localSheetId="11">#REF!</definedName>
    <definedName name="ITEM4.2.1" localSheetId="12">#REF!</definedName>
    <definedName name="ITEM4.2.1" localSheetId="13">#REF!</definedName>
    <definedName name="ITEM4.2.1">#REF!</definedName>
    <definedName name="ITEM4.2.2" localSheetId="0">#REF!</definedName>
    <definedName name="ITEM4.2.2" localSheetId="1">#REF!</definedName>
    <definedName name="ITEM4.2.2" localSheetId="30">#REF!</definedName>
    <definedName name="ITEM4.2.2" localSheetId="14">#REF!</definedName>
    <definedName name="ITEM4.2.2" localSheetId="16">#REF!</definedName>
    <definedName name="ITEM4.2.2" localSheetId="7">#REF!</definedName>
    <definedName name="ITEM4.2.2" localSheetId="8">#REF!</definedName>
    <definedName name="ITEM4.2.2" localSheetId="9">#REF!</definedName>
    <definedName name="ITEM4.2.2" localSheetId="10">#REF!</definedName>
    <definedName name="ITEM4.2.2" localSheetId="19">#REF!</definedName>
    <definedName name="ITEM4.2.2" localSheetId="20">#REF!</definedName>
    <definedName name="ITEM4.2.2" localSheetId="6">#REF!</definedName>
    <definedName name="ITEM4.2.2" localSheetId="11">#REF!</definedName>
    <definedName name="ITEM4.2.2" localSheetId="12">#REF!</definedName>
    <definedName name="ITEM4.2.2" localSheetId="13">#REF!</definedName>
    <definedName name="ITEM4.2.2">#REF!</definedName>
    <definedName name="ITEM4.4.3" localSheetId="0">#REF!</definedName>
    <definedName name="ITEM4.4.3" localSheetId="1">#REF!</definedName>
    <definedName name="ITEM4.4.3" localSheetId="30">#REF!</definedName>
    <definedName name="ITEM4.4.3" localSheetId="14">#REF!</definedName>
    <definedName name="ITEM4.4.3" localSheetId="16">#REF!</definedName>
    <definedName name="ITEM4.4.3" localSheetId="7">#REF!</definedName>
    <definedName name="ITEM4.4.3" localSheetId="8">#REF!</definedName>
    <definedName name="ITEM4.4.3" localSheetId="9">#REF!</definedName>
    <definedName name="ITEM4.4.3" localSheetId="10">#REF!</definedName>
    <definedName name="ITEM4.4.3" localSheetId="19">#REF!</definedName>
    <definedName name="ITEM4.4.3" localSheetId="20">#REF!</definedName>
    <definedName name="ITEM4.4.3" localSheetId="6">#REF!</definedName>
    <definedName name="ITEM4.4.3" localSheetId="11">#REF!</definedName>
    <definedName name="ITEM4.4.3" localSheetId="12">#REF!</definedName>
    <definedName name="ITEM4.4.3" localSheetId="13">#REF!</definedName>
    <definedName name="ITEM4.4.3">#REF!</definedName>
    <definedName name="ITEM4.4.4" localSheetId="0">#REF!</definedName>
    <definedName name="ITEM4.4.4" localSheetId="1">#REF!</definedName>
    <definedName name="ITEM4.4.4" localSheetId="30">#REF!</definedName>
    <definedName name="ITEM4.4.4" localSheetId="14">#REF!</definedName>
    <definedName name="ITEM4.4.4" localSheetId="16">#REF!</definedName>
    <definedName name="ITEM4.4.4" localSheetId="7">#REF!</definedName>
    <definedName name="ITEM4.4.4" localSheetId="8">#REF!</definedName>
    <definedName name="ITEM4.4.4" localSheetId="9">#REF!</definedName>
    <definedName name="ITEM4.4.4" localSheetId="10">#REF!</definedName>
    <definedName name="ITEM4.4.4" localSheetId="19">#REF!</definedName>
    <definedName name="ITEM4.4.4" localSheetId="20">#REF!</definedName>
    <definedName name="ITEM4.4.4" localSheetId="6">#REF!</definedName>
    <definedName name="ITEM4.4.4" localSheetId="11">#REF!</definedName>
    <definedName name="ITEM4.4.4" localSheetId="12">#REF!</definedName>
    <definedName name="ITEM4.4.4" localSheetId="13">#REF!</definedName>
    <definedName name="ITEM4.4.4">#REF!</definedName>
    <definedName name="ITEM4.4.5" localSheetId="0">#REF!</definedName>
    <definedName name="ITEM4.4.5" localSheetId="1">#REF!</definedName>
    <definedName name="ITEM4.4.5" localSheetId="30">#REF!</definedName>
    <definedName name="ITEM4.4.5" localSheetId="14">#REF!</definedName>
    <definedName name="ITEM4.4.5" localSheetId="16">#REF!</definedName>
    <definedName name="ITEM4.4.5" localSheetId="7">#REF!</definedName>
    <definedName name="ITEM4.4.5" localSheetId="8">#REF!</definedName>
    <definedName name="ITEM4.4.5" localSheetId="9">#REF!</definedName>
    <definedName name="ITEM4.4.5" localSheetId="10">#REF!</definedName>
    <definedName name="ITEM4.4.5" localSheetId="19">#REF!</definedName>
    <definedName name="ITEM4.4.5" localSheetId="20">#REF!</definedName>
    <definedName name="ITEM4.4.5" localSheetId="6">#REF!</definedName>
    <definedName name="ITEM4.4.5" localSheetId="11">#REF!</definedName>
    <definedName name="ITEM4.4.5" localSheetId="12">#REF!</definedName>
    <definedName name="ITEM4.4.5" localSheetId="13">#REF!</definedName>
    <definedName name="ITEM4.4.5">#REF!</definedName>
    <definedName name="ITEM4.4.6" localSheetId="0">#REF!</definedName>
    <definedName name="ITEM4.4.6" localSheetId="1">#REF!</definedName>
    <definedName name="ITEM4.4.6" localSheetId="30">#REF!</definedName>
    <definedName name="ITEM4.4.6" localSheetId="14">#REF!</definedName>
    <definedName name="ITEM4.4.6" localSheetId="16">#REF!</definedName>
    <definedName name="ITEM4.4.6" localSheetId="7">#REF!</definedName>
    <definedName name="ITEM4.4.6" localSheetId="8">#REF!</definedName>
    <definedName name="ITEM4.4.6" localSheetId="9">#REF!</definedName>
    <definedName name="ITEM4.4.6" localSheetId="10">#REF!</definedName>
    <definedName name="ITEM4.4.6" localSheetId="19">#REF!</definedName>
    <definedName name="ITEM4.4.6" localSheetId="20">#REF!</definedName>
    <definedName name="ITEM4.4.6" localSheetId="6">#REF!</definedName>
    <definedName name="ITEM4.4.6" localSheetId="11">#REF!</definedName>
    <definedName name="ITEM4.4.6" localSheetId="12">#REF!</definedName>
    <definedName name="ITEM4.4.6" localSheetId="13">#REF!</definedName>
    <definedName name="ITEM4.4.6">#REF!</definedName>
    <definedName name="ITEM4.5" localSheetId="0">#REF!</definedName>
    <definedName name="ITEM4.5" localSheetId="1">#REF!</definedName>
    <definedName name="ITEM4.5" localSheetId="30">#REF!</definedName>
    <definedName name="ITEM4.5" localSheetId="14">#REF!</definedName>
    <definedName name="ITEM4.5" localSheetId="16">#REF!</definedName>
    <definedName name="ITEM4.5" localSheetId="7">#REF!</definedName>
    <definedName name="ITEM4.5" localSheetId="8">#REF!</definedName>
    <definedName name="ITEM4.5" localSheetId="9">#REF!</definedName>
    <definedName name="ITEM4.5" localSheetId="10">#REF!</definedName>
    <definedName name="ITEM4.5" localSheetId="19">#REF!</definedName>
    <definedName name="ITEM4.5" localSheetId="20">#REF!</definedName>
    <definedName name="ITEM4.5" localSheetId="6">#REF!</definedName>
    <definedName name="ITEM4.5" localSheetId="11">#REF!</definedName>
    <definedName name="ITEM4.5" localSheetId="12">#REF!</definedName>
    <definedName name="ITEM4.5" localSheetId="13">#REF!</definedName>
    <definedName name="ITEM4.5">#REF!</definedName>
    <definedName name="ITEM4.9.1" localSheetId="0">#REF!</definedName>
    <definedName name="ITEM4.9.1" localSheetId="1">#REF!</definedName>
    <definedName name="ITEM4.9.1" localSheetId="30">#REF!</definedName>
    <definedName name="ITEM4.9.1" localSheetId="14">#REF!</definedName>
    <definedName name="ITEM4.9.1" localSheetId="16">#REF!</definedName>
    <definedName name="ITEM4.9.1" localSheetId="7">#REF!</definedName>
    <definedName name="ITEM4.9.1" localSheetId="8">#REF!</definedName>
    <definedName name="ITEM4.9.1" localSheetId="9">#REF!</definedName>
    <definedName name="ITEM4.9.1" localSheetId="10">#REF!</definedName>
    <definedName name="ITEM4.9.1" localSheetId="19">#REF!</definedName>
    <definedName name="ITEM4.9.1" localSheetId="20">#REF!</definedName>
    <definedName name="ITEM4.9.1" localSheetId="6">#REF!</definedName>
    <definedName name="ITEM4.9.1" localSheetId="11">#REF!</definedName>
    <definedName name="ITEM4.9.1" localSheetId="12">#REF!</definedName>
    <definedName name="ITEM4.9.1" localSheetId="13">#REF!</definedName>
    <definedName name="ITEM4.9.1">#REF!</definedName>
    <definedName name="ITEM4.9.2" localSheetId="0">#REF!</definedName>
    <definedName name="ITEM4.9.2" localSheetId="1">#REF!</definedName>
    <definedName name="ITEM4.9.2" localSheetId="30">#REF!</definedName>
    <definedName name="ITEM4.9.2" localSheetId="14">#REF!</definedName>
    <definedName name="ITEM4.9.2" localSheetId="16">#REF!</definedName>
    <definedName name="ITEM4.9.2" localSheetId="7">#REF!</definedName>
    <definedName name="ITEM4.9.2" localSheetId="8">#REF!</definedName>
    <definedName name="ITEM4.9.2" localSheetId="9">#REF!</definedName>
    <definedName name="ITEM4.9.2" localSheetId="10">#REF!</definedName>
    <definedName name="ITEM4.9.2" localSheetId="19">#REF!</definedName>
    <definedName name="ITEM4.9.2" localSheetId="20">#REF!</definedName>
    <definedName name="ITEM4.9.2" localSheetId="6">#REF!</definedName>
    <definedName name="ITEM4.9.2" localSheetId="11">#REF!</definedName>
    <definedName name="ITEM4.9.2" localSheetId="12">#REF!</definedName>
    <definedName name="ITEM4.9.2" localSheetId="13">#REF!</definedName>
    <definedName name="ITEM4.9.2">#REF!</definedName>
    <definedName name="ITEM4.9.3" localSheetId="0">#REF!</definedName>
    <definedName name="ITEM4.9.3" localSheetId="1">#REF!</definedName>
    <definedName name="ITEM4.9.3" localSheetId="30">#REF!</definedName>
    <definedName name="ITEM4.9.3" localSheetId="14">#REF!</definedName>
    <definedName name="ITEM4.9.3" localSheetId="16">#REF!</definedName>
    <definedName name="ITEM4.9.3" localSheetId="7">#REF!</definedName>
    <definedName name="ITEM4.9.3" localSheetId="8">#REF!</definedName>
    <definedName name="ITEM4.9.3" localSheetId="9">#REF!</definedName>
    <definedName name="ITEM4.9.3" localSheetId="10">#REF!</definedName>
    <definedName name="ITEM4.9.3" localSheetId="19">#REF!</definedName>
    <definedName name="ITEM4.9.3" localSheetId="20">#REF!</definedName>
    <definedName name="ITEM4.9.3" localSheetId="6">#REF!</definedName>
    <definedName name="ITEM4.9.3" localSheetId="11">#REF!</definedName>
    <definedName name="ITEM4.9.3" localSheetId="12">#REF!</definedName>
    <definedName name="ITEM4.9.3" localSheetId="13">#REF!</definedName>
    <definedName name="ITEM4.9.3">#REF!</definedName>
    <definedName name="ITEM4.9.4" localSheetId="0">#REF!</definedName>
    <definedName name="ITEM4.9.4" localSheetId="1">#REF!</definedName>
    <definedName name="ITEM4.9.4" localSheetId="30">#REF!</definedName>
    <definedName name="ITEM4.9.4" localSheetId="14">#REF!</definedName>
    <definedName name="ITEM4.9.4" localSheetId="16">#REF!</definedName>
    <definedName name="ITEM4.9.4" localSheetId="7">#REF!</definedName>
    <definedName name="ITEM4.9.4" localSheetId="8">#REF!</definedName>
    <definedName name="ITEM4.9.4" localSheetId="9">#REF!</definedName>
    <definedName name="ITEM4.9.4" localSheetId="10">#REF!</definedName>
    <definedName name="ITEM4.9.4" localSheetId="19">#REF!</definedName>
    <definedName name="ITEM4.9.4" localSheetId="20">#REF!</definedName>
    <definedName name="ITEM4.9.4" localSheetId="6">#REF!</definedName>
    <definedName name="ITEM4.9.4" localSheetId="11">#REF!</definedName>
    <definedName name="ITEM4.9.4" localSheetId="12">#REF!</definedName>
    <definedName name="ITEM4.9.4" localSheetId="13">#REF!</definedName>
    <definedName name="ITEM4.9.4">#REF!</definedName>
    <definedName name="ITEM4.9.5" localSheetId="0">#REF!</definedName>
    <definedName name="ITEM4.9.5" localSheetId="1">#REF!</definedName>
    <definedName name="ITEM4.9.5" localSheetId="30">#REF!</definedName>
    <definedName name="ITEM4.9.5" localSheetId="14">#REF!</definedName>
    <definedName name="ITEM4.9.5" localSheetId="16">#REF!</definedName>
    <definedName name="ITEM4.9.5" localSheetId="7">#REF!</definedName>
    <definedName name="ITEM4.9.5" localSheetId="8">#REF!</definedName>
    <definedName name="ITEM4.9.5" localSheetId="9">#REF!</definedName>
    <definedName name="ITEM4.9.5" localSheetId="10">#REF!</definedName>
    <definedName name="ITEM4.9.5" localSheetId="19">#REF!</definedName>
    <definedName name="ITEM4.9.5" localSheetId="20">#REF!</definedName>
    <definedName name="ITEM4.9.5" localSheetId="6">#REF!</definedName>
    <definedName name="ITEM4.9.5" localSheetId="11">#REF!</definedName>
    <definedName name="ITEM4.9.5" localSheetId="12">#REF!</definedName>
    <definedName name="ITEM4.9.5" localSheetId="13">#REF!</definedName>
    <definedName name="ITEM4.9.5">#REF!</definedName>
    <definedName name="ITEM4.9.6" localSheetId="0">#REF!</definedName>
    <definedName name="ITEM4.9.6" localSheetId="1">#REF!</definedName>
    <definedName name="ITEM4.9.6" localSheetId="30">#REF!</definedName>
    <definedName name="ITEM4.9.6" localSheetId="14">#REF!</definedName>
    <definedName name="ITEM4.9.6" localSheetId="16">#REF!</definedName>
    <definedName name="ITEM4.9.6" localSheetId="7">#REF!</definedName>
    <definedName name="ITEM4.9.6" localSheetId="8">#REF!</definedName>
    <definedName name="ITEM4.9.6" localSheetId="9">#REF!</definedName>
    <definedName name="ITEM4.9.6" localSheetId="10">#REF!</definedName>
    <definedName name="ITEM4.9.6" localSheetId="19">#REF!</definedName>
    <definedName name="ITEM4.9.6" localSheetId="20">#REF!</definedName>
    <definedName name="ITEM4.9.6" localSheetId="6">#REF!</definedName>
    <definedName name="ITEM4.9.6" localSheetId="11">#REF!</definedName>
    <definedName name="ITEM4.9.6" localSheetId="12">#REF!</definedName>
    <definedName name="ITEM4.9.6" localSheetId="13">#REF!</definedName>
    <definedName name="ITEM4.9.6">#REF!</definedName>
    <definedName name="ITEM5.1.1.1" localSheetId="0">#REF!</definedName>
    <definedName name="ITEM5.1.1.1" localSheetId="1">#REF!</definedName>
    <definedName name="ITEM5.1.1.1" localSheetId="30">#REF!</definedName>
    <definedName name="ITEM5.1.1.1" localSheetId="14">#REF!</definedName>
    <definedName name="ITEM5.1.1.1" localSheetId="16">#REF!</definedName>
    <definedName name="ITEM5.1.1.1" localSheetId="7">#REF!</definedName>
    <definedName name="ITEM5.1.1.1" localSheetId="8">#REF!</definedName>
    <definedName name="ITEM5.1.1.1" localSheetId="9">#REF!</definedName>
    <definedName name="ITEM5.1.1.1" localSheetId="10">#REF!</definedName>
    <definedName name="ITEM5.1.1.1" localSheetId="19">#REF!</definedName>
    <definedName name="ITEM5.1.1.1" localSheetId="20">#REF!</definedName>
    <definedName name="ITEM5.1.1.1" localSheetId="6">#REF!</definedName>
    <definedName name="ITEM5.1.1.1" localSheetId="11">#REF!</definedName>
    <definedName name="ITEM5.1.1.1" localSheetId="12">#REF!</definedName>
    <definedName name="ITEM5.1.1.1" localSheetId="13">#REF!</definedName>
    <definedName name="ITEM5.1.1.1">#REF!</definedName>
    <definedName name="ITEM5.1.1.2" localSheetId="0">#REF!</definedName>
    <definedName name="ITEM5.1.1.2" localSheetId="1">#REF!</definedName>
    <definedName name="ITEM5.1.1.2" localSheetId="30">#REF!</definedName>
    <definedName name="ITEM5.1.1.2" localSheetId="14">#REF!</definedName>
    <definedName name="ITEM5.1.1.2" localSheetId="16">#REF!</definedName>
    <definedName name="ITEM5.1.1.2" localSheetId="7">#REF!</definedName>
    <definedName name="ITEM5.1.1.2" localSheetId="8">#REF!</definedName>
    <definedName name="ITEM5.1.1.2" localSheetId="9">#REF!</definedName>
    <definedName name="ITEM5.1.1.2" localSheetId="10">#REF!</definedName>
    <definedName name="ITEM5.1.1.2" localSheetId="19">#REF!</definedName>
    <definedName name="ITEM5.1.1.2" localSheetId="20">#REF!</definedName>
    <definedName name="ITEM5.1.1.2" localSheetId="6">#REF!</definedName>
    <definedName name="ITEM5.1.1.2" localSheetId="11">#REF!</definedName>
    <definedName name="ITEM5.1.1.2" localSheetId="12">#REF!</definedName>
    <definedName name="ITEM5.1.1.2" localSheetId="13">#REF!</definedName>
    <definedName name="ITEM5.1.1.2">#REF!</definedName>
    <definedName name="ITEM5.1.1.3" localSheetId="0">#REF!</definedName>
    <definedName name="ITEM5.1.1.3" localSheetId="1">#REF!</definedName>
    <definedName name="ITEM5.1.1.3" localSheetId="30">#REF!</definedName>
    <definedName name="ITEM5.1.1.3" localSheetId="14">#REF!</definedName>
    <definedName name="ITEM5.1.1.3" localSheetId="16">#REF!</definedName>
    <definedName name="ITEM5.1.1.3" localSheetId="7">#REF!</definedName>
    <definedName name="ITEM5.1.1.3" localSheetId="8">#REF!</definedName>
    <definedName name="ITEM5.1.1.3" localSheetId="9">#REF!</definedName>
    <definedName name="ITEM5.1.1.3" localSheetId="10">#REF!</definedName>
    <definedName name="ITEM5.1.1.3" localSheetId="19">#REF!</definedName>
    <definedName name="ITEM5.1.1.3" localSheetId="20">#REF!</definedName>
    <definedName name="ITEM5.1.1.3" localSheetId="6">#REF!</definedName>
    <definedName name="ITEM5.1.1.3" localSheetId="11">#REF!</definedName>
    <definedName name="ITEM5.1.1.3" localSheetId="12">#REF!</definedName>
    <definedName name="ITEM5.1.1.3" localSheetId="13">#REF!</definedName>
    <definedName name="ITEM5.1.1.3">#REF!</definedName>
    <definedName name="ITEM5.1.1.4" localSheetId="0">#REF!</definedName>
    <definedName name="ITEM5.1.1.4" localSheetId="1">#REF!</definedName>
    <definedName name="ITEM5.1.1.4" localSheetId="30">#REF!</definedName>
    <definedName name="ITEM5.1.1.4" localSheetId="14">#REF!</definedName>
    <definedName name="ITEM5.1.1.4" localSheetId="16">#REF!</definedName>
    <definedName name="ITEM5.1.1.4" localSheetId="7">#REF!</definedName>
    <definedName name="ITEM5.1.1.4" localSheetId="8">#REF!</definedName>
    <definedName name="ITEM5.1.1.4" localSheetId="9">#REF!</definedName>
    <definedName name="ITEM5.1.1.4" localSheetId="10">#REF!</definedName>
    <definedName name="ITEM5.1.1.4" localSheetId="19">#REF!</definedName>
    <definedName name="ITEM5.1.1.4" localSheetId="20">#REF!</definedName>
    <definedName name="ITEM5.1.1.4" localSheetId="6">#REF!</definedName>
    <definedName name="ITEM5.1.1.4" localSheetId="11">#REF!</definedName>
    <definedName name="ITEM5.1.1.4" localSheetId="12">#REF!</definedName>
    <definedName name="ITEM5.1.1.4" localSheetId="13">#REF!</definedName>
    <definedName name="ITEM5.1.1.4">#REF!</definedName>
    <definedName name="ITEM5.1.1.5" localSheetId="0">#REF!</definedName>
    <definedName name="ITEM5.1.1.5" localSheetId="1">#REF!</definedName>
    <definedName name="ITEM5.1.1.5" localSheetId="30">#REF!</definedName>
    <definedName name="ITEM5.1.1.5" localSheetId="14">#REF!</definedName>
    <definedName name="ITEM5.1.1.5" localSheetId="16">#REF!</definedName>
    <definedName name="ITEM5.1.1.5" localSheetId="7">#REF!</definedName>
    <definedName name="ITEM5.1.1.5" localSheetId="8">#REF!</definedName>
    <definedName name="ITEM5.1.1.5" localSheetId="9">#REF!</definedName>
    <definedName name="ITEM5.1.1.5" localSheetId="10">#REF!</definedName>
    <definedName name="ITEM5.1.1.5" localSheetId="19">#REF!</definedName>
    <definedName name="ITEM5.1.1.5" localSheetId="20">#REF!</definedName>
    <definedName name="ITEM5.1.1.5" localSheetId="6">#REF!</definedName>
    <definedName name="ITEM5.1.1.5" localSheetId="11">#REF!</definedName>
    <definedName name="ITEM5.1.1.5" localSheetId="12">#REF!</definedName>
    <definedName name="ITEM5.1.1.5" localSheetId="13">#REF!</definedName>
    <definedName name="ITEM5.1.1.5">#REF!</definedName>
    <definedName name="ITEM5.1.1.6" localSheetId="0">#REF!</definedName>
    <definedName name="ITEM5.1.1.6" localSheetId="1">#REF!</definedName>
    <definedName name="ITEM5.1.1.6" localSheetId="30">#REF!</definedName>
    <definedName name="ITEM5.1.1.6" localSheetId="14">#REF!</definedName>
    <definedName name="ITEM5.1.1.6" localSheetId="16">#REF!</definedName>
    <definedName name="ITEM5.1.1.6" localSheetId="7">#REF!</definedName>
    <definedName name="ITEM5.1.1.6" localSheetId="8">#REF!</definedName>
    <definedName name="ITEM5.1.1.6" localSheetId="9">#REF!</definedName>
    <definedName name="ITEM5.1.1.6" localSheetId="10">#REF!</definedName>
    <definedName name="ITEM5.1.1.6" localSheetId="19">#REF!</definedName>
    <definedName name="ITEM5.1.1.6" localSheetId="20">#REF!</definedName>
    <definedName name="ITEM5.1.1.6" localSheetId="6">#REF!</definedName>
    <definedName name="ITEM5.1.1.6" localSheetId="11">#REF!</definedName>
    <definedName name="ITEM5.1.1.6" localSheetId="12">#REF!</definedName>
    <definedName name="ITEM5.1.1.6" localSheetId="13">#REF!</definedName>
    <definedName name="ITEM5.1.1.6">#REF!</definedName>
    <definedName name="ITEM5.1.1.7" localSheetId="0">#REF!</definedName>
    <definedName name="ITEM5.1.1.7" localSheetId="1">#REF!</definedName>
    <definedName name="ITEM5.1.1.7" localSheetId="30">#REF!</definedName>
    <definedName name="ITEM5.1.1.7" localSheetId="14">#REF!</definedName>
    <definedName name="ITEM5.1.1.7" localSheetId="16">#REF!</definedName>
    <definedName name="ITEM5.1.1.7" localSheetId="7">#REF!</definedName>
    <definedName name="ITEM5.1.1.7" localSheetId="8">#REF!</definedName>
    <definedName name="ITEM5.1.1.7" localSheetId="9">#REF!</definedName>
    <definedName name="ITEM5.1.1.7" localSheetId="10">#REF!</definedName>
    <definedName name="ITEM5.1.1.7" localSheetId="19">#REF!</definedName>
    <definedName name="ITEM5.1.1.7" localSheetId="20">#REF!</definedName>
    <definedName name="ITEM5.1.1.7" localSheetId="6">#REF!</definedName>
    <definedName name="ITEM5.1.1.7" localSheetId="11">#REF!</definedName>
    <definedName name="ITEM5.1.1.7" localSheetId="12">#REF!</definedName>
    <definedName name="ITEM5.1.1.7" localSheetId="13">#REF!</definedName>
    <definedName name="ITEM5.1.1.7">#REF!</definedName>
    <definedName name="ITEM5.1.1.8" localSheetId="0">#REF!</definedName>
    <definedName name="ITEM5.1.1.8" localSheetId="1">#REF!</definedName>
    <definedName name="ITEM5.1.1.8" localSheetId="30">#REF!</definedName>
    <definedName name="ITEM5.1.1.8" localSheetId="14">#REF!</definedName>
    <definedName name="ITEM5.1.1.8" localSheetId="16">#REF!</definedName>
    <definedName name="ITEM5.1.1.8" localSheetId="7">#REF!</definedName>
    <definedName name="ITEM5.1.1.8" localSheetId="8">#REF!</definedName>
    <definedName name="ITEM5.1.1.8" localSheetId="9">#REF!</definedName>
    <definedName name="ITEM5.1.1.8" localSheetId="10">#REF!</definedName>
    <definedName name="ITEM5.1.1.8" localSheetId="19">#REF!</definedName>
    <definedName name="ITEM5.1.1.8" localSheetId="20">#REF!</definedName>
    <definedName name="ITEM5.1.1.8" localSheetId="6">#REF!</definedName>
    <definedName name="ITEM5.1.1.8" localSheetId="11">#REF!</definedName>
    <definedName name="ITEM5.1.1.8" localSheetId="12">#REF!</definedName>
    <definedName name="ITEM5.1.1.8" localSheetId="13">#REF!</definedName>
    <definedName name="ITEM5.1.1.8">#REF!</definedName>
    <definedName name="ITEM5.1.2.1" localSheetId="0">#REF!</definedName>
    <definedName name="ITEM5.1.2.1" localSheetId="1">#REF!</definedName>
    <definedName name="ITEM5.1.2.1" localSheetId="30">#REF!</definedName>
    <definedName name="ITEM5.1.2.1" localSheetId="14">#REF!</definedName>
    <definedName name="ITEM5.1.2.1" localSheetId="16">#REF!</definedName>
    <definedName name="ITEM5.1.2.1" localSheetId="7">#REF!</definedName>
    <definedName name="ITEM5.1.2.1" localSheetId="8">#REF!</definedName>
    <definedName name="ITEM5.1.2.1" localSheetId="9">#REF!</definedName>
    <definedName name="ITEM5.1.2.1" localSheetId="10">#REF!</definedName>
    <definedName name="ITEM5.1.2.1" localSheetId="19">#REF!</definedName>
    <definedName name="ITEM5.1.2.1" localSheetId="20">#REF!</definedName>
    <definedName name="ITEM5.1.2.1" localSheetId="6">#REF!</definedName>
    <definedName name="ITEM5.1.2.1" localSheetId="11">#REF!</definedName>
    <definedName name="ITEM5.1.2.1" localSheetId="12">#REF!</definedName>
    <definedName name="ITEM5.1.2.1" localSheetId="13">#REF!</definedName>
    <definedName name="ITEM5.1.2.1">#REF!</definedName>
    <definedName name="ITEM5.1.2.2" localSheetId="0">#REF!</definedName>
    <definedName name="ITEM5.1.2.2" localSheetId="1">#REF!</definedName>
    <definedName name="ITEM5.1.2.2" localSheetId="30">#REF!</definedName>
    <definedName name="ITEM5.1.2.2" localSheetId="14">#REF!</definedName>
    <definedName name="ITEM5.1.2.2" localSheetId="16">#REF!</definedName>
    <definedName name="ITEM5.1.2.2" localSheetId="7">#REF!</definedName>
    <definedName name="ITEM5.1.2.2" localSheetId="8">#REF!</definedName>
    <definedName name="ITEM5.1.2.2" localSheetId="9">#REF!</definedName>
    <definedName name="ITEM5.1.2.2" localSheetId="10">#REF!</definedName>
    <definedName name="ITEM5.1.2.2" localSheetId="19">#REF!</definedName>
    <definedName name="ITEM5.1.2.2" localSheetId="20">#REF!</definedName>
    <definedName name="ITEM5.1.2.2" localSheetId="6">#REF!</definedName>
    <definedName name="ITEM5.1.2.2" localSheetId="11">#REF!</definedName>
    <definedName name="ITEM5.1.2.2" localSheetId="12">#REF!</definedName>
    <definedName name="ITEM5.1.2.2" localSheetId="13">#REF!</definedName>
    <definedName name="ITEM5.1.2.2">#REF!</definedName>
    <definedName name="ITEM5.1.2.3" localSheetId="0">#REF!</definedName>
    <definedName name="ITEM5.1.2.3" localSheetId="1">#REF!</definedName>
    <definedName name="ITEM5.1.2.3" localSheetId="30">#REF!</definedName>
    <definedName name="ITEM5.1.2.3" localSheetId="14">#REF!</definedName>
    <definedName name="ITEM5.1.2.3" localSheetId="16">#REF!</definedName>
    <definedName name="ITEM5.1.2.3" localSheetId="7">#REF!</definedName>
    <definedName name="ITEM5.1.2.3" localSheetId="8">#REF!</definedName>
    <definedName name="ITEM5.1.2.3" localSheetId="9">#REF!</definedName>
    <definedName name="ITEM5.1.2.3" localSheetId="10">#REF!</definedName>
    <definedName name="ITEM5.1.2.3" localSheetId="19">#REF!</definedName>
    <definedName name="ITEM5.1.2.3" localSheetId="20">#REF!</definedName>
    <definedName name="ITEM5.1.2.3" localSheetId="6">#REF!</definedName>
    <definedName name="ITEM5.1.2.3" localSheetId="11">#REF!</definedName>
    <definedName name="ITEM5.1.2.3" localSheetId="12">#REF!</definedName>
    <definedName name="ITEM5.1.2.3" localSheetId="13">#REF!</definedName>
    <definedName name="ITEM5.1.2.3">#REF!</definedName>
    <definedName name="ITEM5.1.2.4" localSheetId="0">#REF!</definedName>
    <definedName name="ITEM5.1.2.4" localSheetId="1">#REF!</definedName>
    <definedName name="ITEM5.1.2.4" localSheetId="30">#REF!</definedName>
    <definedName name="ITEM5.1.2.4" localSheetId="14">#REF!</definedName>
    <definedName name="ITEM5.1.2.4" localSheetId="16">#REF!</definedName>
    <definedName name="ITEM5.1.2.4" localSheetId="7">#REF!</definedName>
    <definedName name="ITEM5.1.2.4" localSheetId="8">#REF!</definedName>
    <definedName name="ITEM5.1.2.4" localSheetId="9">#REF!</definedName>
    <definedName name="ITEM5.1.2.4" localSheetId="10">#REF!</definedName>
    <definedName name="ITEM5.1.2.4" localSheetId="19">#REF!</definedName>
    <definedName name="ITEM5.1.2.4" localSheetId="20">#REF!</definedName>
    <definedName name="ITEM5.1.2.4" localSheetId="6">#REF!</definedName>
    <definedName name="ITEM5.1.2.4" localSheetId="11">#REF!</definedName>
    <definedName name="ITEM5.1.2.4" localSheetId="12">#REF!</definedName>
    <definedName name="ITEM5.1.2.4" localSheetId="13">#REF!</definedName>
    <definedName name="ITEM5.1.2.4">#REF!</definedName>
    <definedName name="ITEM5.1.2.5" localSheetId="0">#REF!</definedName>
    <definedName name="ITEM5.1.2.5" localSheetId="1">#REF!</definedName>
    <definedName name="ITEM5.1.2.5" localSheetId="30">#REF!</definedName>
    <definedName name="ITEM5.1.2.5" localSheetId="14">#REF!</definedName>
    <definedName name="ITEM5.1.2.5" localSheetId="16">#REF!</definedName>
    <definedName name="ITEM5.1.2.5" localSheetId="7">#REF!</definedName>
    <definedName name="ITEM5.1.2.5" localSheetId="8">#REF!</definedName>
    <definedName name="ITEM5.1.2.5" localSheetId="9">#REF!</definedName>
    <definedName name="ITEM5.1.2.5" localSheetId="10">#REF!</definedName>
    <definedName name="ITEM5.1.2.5" localSheetId="19">#REF!</definedName>
    <definedName name="ITEM5.1.2.5" localSheetId="20">#REF!</definedName>
    <definedName name="ITEM5.1.2.5" localSheetId="6">#REF!</definedName>
    <definedName name="ITEM5.1.2.5" localSheetId="11">#REF!</definedName>
    <definedName name="ITEM5.1.2.5" localSheetId="12">#REF!</definedName>
    <definedName name="ITEM5.1.2.5" localSheetId="13">#REF!</definedName>
    <definedName name="ITEM5.1.2.5">#REF!</definedName>
    <definedName name="ITEM5.1.2.6" localSheetId="0">#REF!</definedName>
    <definedName name="ITEM5.1.2.6" localSheetId="1">#REF!</definedName>
    <definedName name="ITEM5.1.2.6" localSheetId="30">#REF!</definedName>
    <definedName name="ITEM5.1.2.6" localSheetId="14">#REF!</definedName>
    <definedName name="ITEM5.1.2.6" localSheetId="16">#REF!</definedName>
    <definedName name="ITEM5.1.2.6" localSheetId="7">#REF!</definedName>
    <definedName name="ITEM5.1.2.6" localSheetId="8">#REF!</definedName>
    <definedName name="ITEM5.1.2.6" localSheetId="9">#REF!</definedName>
    <definedName name="ITEM5.1.2.6" localSheetId="10">#REF!</definedName>
    <definedName name="ITEM5.1.2.6" localSheetId="19">#REF!</definedName>
    <definedName name="ITEM5.1.2.6" localSheetId="20">#REF!</definedName>
    <definedName name="ITEM5.1.2.6" localSheetId="6">#REF!</definedName>
    <definedName name="ITEM5.1.2.6" localSheetId="11">#REF!</definedName>
    <definedName name="ITEM5.1.2.6" localSheetId="12">#REF!</definedName>
    <definedName name="ITEM5.1.2.6" localSheetId="13">#REF!</definedName>
    <definedName name="ITEM5.1.2.6">#REF!</definedName>
    <definedName name="ITEM5.1.2.7" localSheetId="0">#REF!</definedName>
    <definedName name="ITEM5.1.2.7" localSheetId="1">#REF!</definedName>
    <definedName name="ITEM5.1.2.7" localSheetId="30">#REF!</definedName>
    <definedName name="ITEM5.1.2.7" localSheetId="14">#REF!</definedName>
    <definedName name="ITEM5.1.2.7" localSheetId="16">#REF!</definedName>
    <definedName name="ITEM5.1.2.7" localSheetId="7">#REF!</definedName>
    <definedName name="ITEM5.1.2.7" localSheetId="8">#REF!</definedName>
    <definedName name="ITEM5.1.2.7" localSheetId="9">#REF!</definedName>
    <definedName name="ITEM5.1.2.7" localSheetId="10">#REF!</definedName>
    <definedName name="ITEM5.1.2.7" localSheetId="19">#REF!</definedName>
    <definedName name="ITEM5.1.2.7" localSheetId="20">#REF!</definedName>
    <definedName name="ITEM5.1.2.7" localSheetId="6">#REF!</definedName>
    <definedName name="ITEM5.1.2.7" localSheetId="11">#REF!</definedName>
    <definedName name="ITEM5.1.2.7" localSheetId="12">#REF!</definedName>
    <definedName name="ITEM5.1.2.7" localSheetId="13">#REF!</definedName>
    <definedName name="ITEM5.1.2.7">#REF!</definedName>
    <definedName name="ITEM5.1.2.8" localSheetId="0">#REF!</definedName>
    <definedName name="ITEM5.1.2.8" localSheetId="1">#REF!</definedName>
    <definedName name="ITEM5.1.2.8" localSheetId="30">#REF!</definedName>
    <definedName name="ITEM5.1.2.8" localSheetId="14">#REF!</definedName>
    <definedName name="ITEM5.1.2.8" localSheetId="16">#REF!</definedName>
    <definedName name="ITEM5.1.2.8" localSheetId="7">#REF!</definedName>
    <definedName name="ITEM5.1.2.8" localSheetId="8">#REF!</definedName>
    <definedName name="ITEM5.1.2.8" localSheetId="9">#REF!</definedName>
    <definedName name="ITEM5.1.2.8" localSheetId="10">#REF!</definedName>
    <definedName name="ITEM5.1.2.8" localSheetId="19">#REF!</definedName>
    <definedName name="ITEM5.1.2.8" localSheetId="20">#REF!</definedName>
    <definedName name="ITEM5.1.2.8" localSheetId="6">#REF!</definedName>
    <definedName name="ITEM5.1.2.8" localSheetId="11">#REF!</definedName>
    <definedName name="ITEM5.1.2.8" localSheetId="12">#REF!</definedName>
    <definedName name="ITEM5.1.2.8" localSheetId="13">#REF!</definedName>
    <definedName name="ITEM5.1.2.8">#REF!</definedName>
    <definedName name="ITEM5.1.2.9" localSheetId="0">#REF!</definedName>
    <definedName name="ITEM5.1.2.9" localSheetId="1">#REF!</definedName>
    <definedName name="ITEM5.1.2.9" localSheetId="30">#REF!</definedName>
    <definedName name="ITEM5.1.2.9" localSheetId="14">#REF!</definedName>
    <definedName name="ITEM5.1.2.9" localSheetId="16">#REF!</definedName>
    <definedName name="ITEM5.1.2.9" localSheetId="7">#REF!</definedName>
    <definedName name="ITEM5.1.2.9" localSheetId="8">#REF!</definedName>
    <definedName name="ITEM5.1.2.9" localSheetId="9">#REF!</definedName>
    <definedName name="ITEM5.1.2.9" localSheetId="10">#REF!</definedName>
    <definedName name="ITEM5.1.2.9" localSheetId="19">#REF!</definedName>
    <definedName name="ITEM5.1.2.9" localSheetId="20">#REF!</definedName>
    <definedName name="ITEM5.1.2.9" localSheetId="6">#REF!</definedName>
    <definedName name="ITEM5.1.2.9" localSheetId="11">#REF!</definedName>
    <definedName name="ITEM5.1.2.9" localSheetId="12">#REF!</definedName>
    <definedName name="ITEM5.1.2.9" localSheetId="13">#REF!</definedName>
    <definedName name="ITEM5.1.2.9">#REF!</definedName>
    <definedName name="ITEM5.1.4" localSheetId="0">#REF!</definedName>
    <definedName name="ITEM5.1.4" localSheetId="1">#REF!</definedName>
    <definedName name="ITEM5.1.4" localSheetId="30">#REF!</definedName>
    <definedName name="ITEM5.1.4" localSheetId="14">#REF!</definedName>
    <definedName name="ITEM5.1.4" localSheetId="16">#REF!</definedName>
    <definedName name="ITEM5.1.4" localSheetId="7">#REF!</definedName>
    <definedName name="ITEM5.1.4" localSheetId="8">#REF!</definedName>
    <definedName name="ITEM5.1.4" localSheetId="9">#REF!</definedName>
    <definedName name="ITEM5.1.4" localSheetId="10">#REF!</definedName>
    <definedName name="ITEM5.1.4" localSheetId="19">#REF!</definedName>
    <definedName name="ITEM5.1.4" localSheetId="20">#REF!</definedName>
    <definedName name="ITEM5.1.4" localSheetId="6">#REF!</definedName>
    <definedName name="ITEM5.1.4" localSheetId="11">#REF!</definedName>
    <definedName name="ITEM5.1.4" localSheetId="12">#REF!</definedName>
    <definedName name="ITEM5.1.4" localSheetId="13">#REF!</definedName>
    <definedName name="ITEM5.1.4">#REF!</definedName>
    <definedName name="ITEM5.1.5" localSheetId="0">#REF!</definedName>
    <definedName name="ITEM5.1.5" localSheetId="1">#REF!</definedName>
    <definedName name="ITEM5.1.5" localSheetId="30">#REF!</definedName>
    <definedName name="ITEM5.1.5" localSheetId="14">#REF!</definedName>
    <definedName name="ITEM5.1.5" localSheetId="16">#REF!</definedName>
    <definedName name="ITEM5.1.5" localSheetId="7">#REF!</definedName>
    <definedName name="ITEM5.1.5" localSheetId="8">#REF!</definedName>
    <definedName name="ITEM5.1.5" localSheetId="9">#REF!</definedName>
    <definedName name="ITEM5.1.5" localSheetId="10">#REF!</definedName>
    <definedName name="ITEM5.1.5" localSheetId="19">#REF!</definedName>
    <definedName name="ITEM5.1.5" localSheetId="20">#REF!</definedName>
    <definedName name="ITEM5.1.5" localSheetId="6">#REF!</definedName>
    <definedName name="ITEM5.1.5" localSheetId="11">#REF!</definedName>
    <definedName name="ITEM5.1.5" localSheetId="12">#REF!</definedName>
    <definedName name="ITEM5.1.5" localSheetId="13">#REF!</definedName>
    <definedName name="ITEM5.1.5">#REF!</definedName>
    <definedName name="ITEM5.1.6" localSheetId="0">#REF!</definedName>
    <definedName name="ITEM5.1.6" localSheetId="1">#REF!</definedName>
    <definedName name="ITEM5.1.6" localSheetId="30">#REF!</definedName>
    <definedName name="ITEM5.1.6" localSheetId="14">#REF!</definedName>
    <definedName name="ITEM5.1.6" localSheetId="16">#REF!</definedName>
    <definedName name="ITEM5.1.6" localSheetId="7">#REF!</definedName>
    <definedName name="ITEM5.1.6" localSheetId="8">#REF!</definedName>
    <definedName name="ITEM5.1.6" localSheetId="9">#REF!</definedName>
    <definedName name="ITEM5.1.6" localSheetId="10">#REF!</definedName>
    <definedName name="ITEM5.1.6" localSheetId="19">#REF!</definedName>
    <definedName name="ITEM5.1.6" localSheetId="20">#REF!</definedName>
    <definedName name="ITEM5.1.6" localSheetId="6">#REF!</definedName>
    <definedName name="ITEM5.1.6" localSheetId="11">#REF!</definedName>
    <definedName name="ITEM5.1.6" localSheetId="12">#REF!</definedName>
    <definedName name="ITEM5.1.6" localSheetId="13">#REF!</definedName>
    <definedName name="ITEM5.1.6">#REF!</definedName>
    <definedName name="ITEM5.1.7" localSheetId="0">#REF!</definedName>
    <definedName name="ITEM5.1.7" localSheetId="1">#REF!</definedName>
    <definedName name="ITEM5.1.7" localSheetId="30">#REF!</definedName>
    <definedName name="ITEM5.1.7" localSheetId="14">#REF!</definedName>
    <definedName name="ITEM5.1.7" localSheetId="16">#REF!</definedName>
    <definedName name="ITEM5.1.7" localSheetId="7">#REF!</definedName>
    <definedName name="ITEM5.1.7" localSheetId="8">#REF!</definedName>
    <definedName name="ITEM5.1.7" localSheetId="9">#REF!</definedName>
    <definedName name="ITEM5.1.7" localSheetId="10">#REF!</definedName>
    <definedName name="ITEM5.1.7" localSheetId="19">#REF!</definedName>
    <definedName name="ITEM5.1.7" localSheetId="20">#REF!</definedName>
    <definedName name="ITEM5.1.7" localSheetId="6">#REF!</definedName>
    <definedName name="ITEM5.1.7" localSheetId="11">#REF!</definedName>
    <definedName name="ITEM5.1.7" localSheetId="12">#REF!</definedName>
    <definedName name="ITEM5.1.7" localSheetId="13">#REF!</definedName>
    <definedName name="ITEM5.1.7">#REF!</definedName>
    <definedName name="ITEM5.1.7.1" localSheetId="0">#REF!</definedName>
    <definedName name="ITEM5.1.7.1" localSheetId="1">#REF!</definedName>
    <definedName name="ITEM5.1.7.1" localSheetId="30">#REF!</definedName>
    <definedName name="ITEM5.1.7.1" localSheetId="14">#REF!</definedName>
    <definedName name="ITEM5.1.7.1" localSheetId="16">#REF!</definedName>
    <definedName name="ITEM5.1.7.1" localSheetId="7">#REF!</definedName>
    <definedName name="ITEM5.1.7.1" localSheetId="8">#REF!</definedName>
    <definedName name="ITEM5.1.7.1" localSheetId="9">#REF!</definedName>
    <definedName name="ITEM5.1.7.1" localSheetId="10">#REF!</definedName>
    <definedName name="ITEM5.1.7.1" localSheetId="19">#REF!</definedName>
    <definedName name="ITEM5.1.7.1" localSheetId="20">#REF!</definedName>
    <definedName name="ITEM5.1.7.1" localSheetId="6">#REF!</definedName>
    <definedName name="ITEM5.1.7.1" localSheetId="11">#REF!</definedName>
    <definedName name="ITEM5.1.7.1" localSheetId="12">#REF!</definedName>
    <definedName name="ITEM5.1.7.1" localSheetId="13">#REF!</definedName>
    <definedName name="ITEM5.1.7.1">#REF!</definedName>
    <definedName name="ITEM5.2.2.1" localSheetId="0">#REF!</definedName>
    <definedName name="ITEM5.2.2.1" localSheetId="1">#REF!</definedName>
    <definedName name="ITEM5.2.2.1" localSheetId="30">#REF!</definedName>
    <definedName name="ITEM5.2.2.1" localSheetId="14">#REF!</definedName>
    <definedName name="ITEM5.2.2.1" localSheetId="16">#REF!</definedName>
    <definedName name="ITEM5.2.2.1" localSheetId="7">#REF!</definedName>
    <definedName name="ITEM5.2.2.1" localSheetId="8">#REF!</definedName>
    <definedName name="ITEM5.2.2.1" localSheetId="9">#REF!</definedName>
    <definedName name="ITEM5.2.2.1" localSheetId="10">#REF!</definedName>
    <definedName name="ITEM5.2.2.1" localSheetId="19">#REF!</definedName>
    <definedName name="ITEM5.2.2.1" localSheetId="20">#REF!</definedName>
    <definedName name="ITEM5.2.2.1" localSheetId="6">#REF!</definedName>
    <definedName name="ITEM5.2.2.1" localSheetId="11">#REF!</definedName>
    <definedName name="ITEM5.2.2.1" localSheetId="12">#REF!</definedName>
    <definedName name="ITEM5.2.2.1" localSheetId="13">#REF!</definedName>
    <definedName name="ITEM5.2.2.1">#REF!</definedName>
    <definedName name="ITEM5.2.2.2" localSheetId="0">#REF!</definedName>
    <definedName name="ITEM5.2.2.2" localSheetId="1">#REF!</definedName>
    <definedName name="ITEM5.2.2.2" localSheetId="30">#REF!</definedName>
    <definedName name="ITEM5.2.2.2" localSheetId="14">#REF!</definedName>
    <definedName name="ITEM5.2.2.2" localSheetId="16">#REF!</definedName>
    <definedName name="ITEM5.2.2.2" localSheetId="7">#REF!</definedName>
    <definedName name="ITEM5.2.2.2" localSheetId="8">#REF!</definedName>
    <definedName name="ITEM5.2.2.2" localSheetId="9">#REF!</definedName>
    <definedName name="ITEM5.2.2.2" localSheetId="10">#REF!</definedName>
    <definedName name="ITEM5.2.2.2" localSheetId="19">#REF!</definedName>
    <definedName name="ITEM5.2.2.2" localSheetId="20">#REF!</definedName>
    <definedName name="ITEM5.2.2.2" localSheetId="6">#REF!</definedName>
    <definedName name="ITEM5.2.2.2" localSheetId="11">#REF!</definedName>
    <definedName name="ITEM5.2.2.2" localSheetId="12">#REF!</definedName>
    <definedName name="ITEM5.2.2.2" localSheetId="13">#REF!</definedName>
    <definedName name="ITEM5.2.2.2">#REF!</definedName>
    <definedName name="ITEM5.2.2.3" localSheetId="0">#REF!</definedName>
    <definedName name="ITEM5.2.2.3" localSheetId="1">#REF!</definedName>
    <definedName name="ITEM5.2.2.3" localSheetId="30">#REF!</definedName>
    <definedName name="ITEM5.2.2.3" localSheetId="14">#REF!</definedName>
    <definedName name="ITEM5.2.2.3" localSheetId="16">#REF!</definedName>
    <definedName name="ITEM5.2.2.3" localSheetId="7">#REF!</definedName>
    <definedName name="ITEM5.2.2.3" localSheetId="8">#REF!</definedName>
    <definedName name="ITEM5.2.2.3" localSheetId="9">#REF!</definedName>
    <definedName name="ITEM5.2.2.3" localSheetId="10">#REF!</definedName>
    <definedName name="ITEM5.2.2.3" localSheetId="19">#REF!</definedName>
    <definedName name="ITEM5.2.2.3" localSheetId="20">#REF!</definedName>
    <definedName name="ITEM5.2.2.3" localSheetId="6">#REF!</definedName>
    <definedName name="ITEM5.2.2.3" localSheetId="11">#REF!</definedName>
    <definedName name="ITEM5.2.2.3" localSheetId="12">#REF!</definedName>
    <definedName name="ITEM5.2.2.3" localSheetId="13">#REF!</definedName>
    <definedName name="ITEM5.2.2.3">#REF!</definedName>
    <definedName name="ITEM5.2.2.4" localSheetId="0">#REF!</definedName>
    <definedName name="ITEM5.2.2.4" localSheetId="1">#REF!</definedName>
    <definedName name="ITEM5.2.2.4" localSheetId="30">#REF!</definedName>
    <definedName name="ITEM5.2.2.4" localSheetId="14">#REF!</definedName>
    <definedName name="ITEM5.2.2.4" localSheetId="16">#REF!</definedName>
    <definedName name="ITEM5.2.2.4" localSheetId="7">#REF!</definedName>
    <definedName name="ITEM5.2.2.4" localSheetId="8">#REF!</definedName>
    <definedName name="ITEM5.2.2.4" localSheetId="9">#REF!</definedName>
    <definedName name="ITEM5.2.2.4" localSheetId="10">#REF!</definedName>
    <definedName name="ITEM5.2.2.4" localSheetId="19">#REF!</definedName>
    <definedName name="ITEM5.2.2.4" localSheetId="20">#REF!</definedName>
    <definedName name="ITEM5.2.2.4" localSheetId="6">#REF!</definedName>
    <definedName name="ITEM5.2.2.4" localSheetId="11">#REF!</definedName>
    <definedName name="ITEM5.2.2.4" localSheetId="12">#REF!</definedName>
    <definedName name="ITEM5.2.2.4" localSheetId="13">#REF!</definedName>
    <definedName name="ITEM5.2.2.4">#REF!</definedName>
    <definedName name="ITEM5.2.2.5" localSheetId="0">#REF!</definedName>
    <definedName name="ITEM5.2.2.5" localSheetId="1">#REF!</definedName>
    <definedName name="ITEM5.2.2.5" localSheetId="30">#REF!</definedName>
    <definedName name="ITEM5.2.2.5" localSheetId="14">#REF!</definedName>
    <definedName name="ITEM5.2.2.5" localSheetId="16">#REF!</definedName>
    <definedName name="ITEM5.2.2.5" localSheetId="7">#REF!</definedName>
    <definedName name="ITEM5.2.2.5" localSheetId="8">#REF!</definedName>
    <definedName name="ITEM5.2.2.5" localSheetId="9">#REF!</definedName>
    <definedName name="ITEM5.2.2.5" localSheetId="10">#REF!</definedName>
    <definedName name="ITEM5.2.2.5" localSheetId="19">#REF!</definedName>
    <definedName name="ITEM5.2.2.5" localSheetId="20">#REF!</definedName>
    <definedName name="ITEM5.2.2.5" localSheetId="6">#REF!</definedName>
    <definedName name="ITEM5.2.2.5" localSheetId="11">#REF!</definedName>
    <definedName name="ITEM5.2.2.5" localSheetId="12">#REF!</definedName>
    <definedName name="ITEM5.2.2.5" localSheetId="13">#REF!</definedName>
    <definedName name="ITEM5.2.2.5">#REF!</definedName>
    <definedName name="ITEM5.2.2.6" localSheetId="0">#REF!</definedName>
    <definedName name="ITEM5.2.2.6" localSheetId="1">#REF!</definedName>
    <definedName name="ITEM5.2.2.6" localSheetId="30">#REF!</definedName>
    <definedName name="ITEM5.2.2.6" localSheetId="14">#REF!</definedName>
    <definedName name="ITEM5.2.2.6" localSheetId="16">#REF!</definedName>
    <definedName name="ITEM5.2.2.6" localSheetId="7">#REF!</definedName>
    <definedName name="ITEM5.2.2.6" localSheetId="8">#REF!</definedName>
    <definedName name="ITEM5.2.2.6" localSheetId="9">#REF!</definedName>
    <definedName name="ITEM5.2.2.6" localSheetId="10">#REF!</definedName>
    <definedName name="ITEM5.2.2.6" localSheetId="19">#REF!</definedName>
    <definedName name="ITEM5.2.2.6" localSheetId="20">#REF!</definedName>
    <definedName name="ITEM5.2.2.6" localSheetId="6">#REF!</definedName>
    <definedName name="ITEM5.2.2.6" localSheetId="11">#REF!</definedName>
    <definedName name="ITEM5.2.2.6" localSheetId="12">#REF!</definedName>
    <definedName name="ITEM5.2.2.6" localSheetId="13">#REF!</definedName>
    <definedName name="ITEM5.2.2.6">#REF!</definedName>
    <definedName name="ITEM5.3.1" localSheetId="1">'[44]25-27RC. PIPE(3หน้า)'!#REF!</definedName>
    <definedName name="ITEM5.3.1" localSheetId="30">'[44]25-27RC. PIPE(3หน้า)'!#REF!</definedName>
    <definedName name="ITEM5.3.1">'[45]25-27RC. PIPE(3หน้า)'!#REF!</definedName>
    <definedName name="ITEM5.3.2" localSheetId="1">'[44]25-27RC. PIPE(3หน้า)'!#REF!</definedName>
    <definedName name="ITEM5.3.2" localSheetId="30">'[44]25-27RC. PIPE(3หน้า)'!#REF!</definedName>
    <definedName name="ITEM5.3.2">'[45]25-27RC. PIPE(3หน้า)'!#REF!</definedName>
    <definedName name="ITEM5.3.3" localSheetId="1">'[44]25-27RC. PIPE(3หน้า)'!#REF!</definedName>
    <definedName name="ITEM5.3.3" localSheetId="30">'[44]25-27RC. PIPE(3หน้า)'!#REF!</definedName>
    <definedName name="ITEM5.3.3">'[45]25-27RC. PIPE(3หน้า)'!#REF!</definedName>
    <definedName name="ITEM5.4.1" localSheetId="1">'[44]25-27RC. PIPE(3หน้า)'!#REF!</definedName>
    <definedName name="ITEM5.4.1" localSheetId="30">'[44]25-27RC. PIPE(3หน้า)'!#REF!</definedName>
    <definedName name="ITEM5.4.1">'[45]25-27RC. PIPE(3หน้า)'!#REF!</definedName>
    <definedName name="ITEM5.4.2" localSheetId="1">'[44]25-27RC. PIPE(3หน้า)'!#REF!</definedName>
    <definedName name="ITEM5.4.2" localSheetId="30">'[44]25-27RC. PIPE(3หน้า)'!#REF!</definedName>
    <definedName name="ITEM5.4.2">'[45]25-27RC. PIPE(3หน้า)'!#REF!</definedName>
    <definedName name="ITEM5.4.3" localSheetId="1">'[44]25-27RC. PIPE(3หน้า)'!#REF!</definedName>
    <definedName name="ITEM5.4.3" localSheetId="30">'[44]25-27RC. PIPE(3หน้า)'!#REF!</definedName>
    <definedName name="ITEM5.4.3">'[45]25-27RC. PIPE(3หน้า)'!#REF!</definedName>
    <definedName name="ITEM6.1.1" localSheetId="0">#REF!</definedName>
    <definedName name="ITEM6.1.1" localSheetId="1">#REF!</definedName>
    <definedName name="ITEM6.1.1" localSheetId="30">#REF!</definedName>
    <definedName name="ITEM6.1.1" localSheetId="14">#REF!</definedName>
    <definedName name="ITEM6.1.1" localSheetId="16">#REF!</definedName>
    <definedName name="ITEM6.1.1" localSheetId="7">#REF!</definedName>
    <definedName name="ITEM6.1.1" localSheetId="8">#REF!</definedName>
    <definedName name="ITEM6.1.1" localSheetId="9">#REF!</definedName>
    <definedName name="ITEM6.1.1" localSheetId="10">#REF!</definedName>
    <definedName name="ITEM6.1.1" localSheetId="19">#REF!</definedName>
    <definedName name="ITEM6.1.1" localSheetId="20">#REF!</definedName>
    <definedName name="ITEM6.1.1" localSheetId="6">#REF!</definedName>
    <definedName name="ITEM6.1.1" localSheetId="11">#REF!</definedName>
    <definedName name="ITEM6.1.1" localSheetId="12">#REF!</definedName>
    <definedName name="ITEM6.1.1" localSheetId="13">#REF!</definedName>
    <definedName name="ITEM6.1.1">#REF!</definedName>
    <definedName name="ITEM6.1.10" localSheetId="0">#REF!</definedName>
    <definedName name="ITEM6.1.10" localSheetId="1">#REF!</definedName>
    <definedName name="ITEM6.1.10" localSheetId="30">#REF!</definedName>
    <definedName name="ITEM6.1.10" localSheetId="14">#REF!</definedName>
    <definedName name="ITEM6.1.10" localSheetId="16">#REF!</definedName>
    <definedName name="ITEM6.1.10" localSheetId="7">#REF!</definedName>
    <definedName name="ITEM6.1.10" localSheetId="8">#REF!</definedName>
    <definedName name="ITEM6.1.10" localSheetId="9">#REF!</definedName>
    <definedName name="ITEM6.1.10" localSheetId="10">#REF!</definedName>
    <definedName name="ITEM6.1.10" localSheetId="19">#REF!</definedName>
    <definedName name="ITEM6.1.10" localSheetId="20">#REF!</definedName>
    <definedName name="ITEM6.1.10" localSheetId="6">#REF!</definedName>
    <definedName name="ITEM6.1.10" localSheetId="11">#REF!</definedName>
    <definedName name="ITEM6.1.10" localSheetId="12">#REF!</definedName>
    <definedName name="ITEM6.1.10" localSheetId="13">#REF!</definedName>
    <definedName name="ITEM6.1.10">#REF!</definedName>
    <definedName name="ITEM6.1.11" localSheetId="0">#REF!</definedName>
    <definedName name="ITEM6.1.11" localSheetId="1">#REF!</definedName>
    <definedName name="ITEM6.1.11" localSheetId="30">#REF!</definedName>
    <definedName name="ITEM6.1.11" localSheetId="14">#REF!</definedName>
    <definedName name="ITEM6.1.11" localSheetId="16">#REF!</definedName>
    <definedName name="ITEM6.1.11" localSheetId="7">#REF!</definedName>
    <definedName name="ITEM6.1.11" localSheetId="8">#REF!</definedName>
    <definedName name="ITEM6.1.11" localSheetId="9">#REF!</definedName>
    <definedName name="ITEM6.1.11" localSheetId="10">#REF!</definedName>
    <definedName name="ITEM6.1.11" localSheetId="19">#REF!</definedName>
    <definedName name="ITEM6.1.11" localSheetId="20">#REF!</definedName>
    <definedName name="ITEM6.1.11" localSheetId="6">#REF!</definedName>
    <definedName name="ITEM6.1.11" localSheetId="11">#REF!</definedName>
    <definedName name="ITEM6.1.11" localSheetId="12">#REF!</definedName>
    <definedName name="ITEM6.1.11" localSheetId="13">#REF!</definedName>
    <definedName name="ITEM6.1.11">#REF!</definedName>
    <definedName name="ITEM6.1.12" localSheetId="0">#REF!</definedName>
    <definedName name="ITEM6.1.12" localSheetId="1">#REF!</definedName>
    <definedName name="ITEM6.1.12" localSheetId="30">#REF!</definedName>
    <definedName name="ITEM6.1.12" localSheetId="14">#REF!</definedName>
    <definedName name="ITEM6.1.12" localSheetId="16">#REF!</definedName>
    <definedName name="ITEM6.1.12" localSheetId="7">#REF!</definedName>
    <definedName name="ITEM6.1.12" localSheetId="8">#REF!</definedName>
    <definedName name="ITEM6.1.12" localSheetId="9">#REF!</definedName>
    <definedName name="ITEM6.1.12" localSheetId="10">#REF!</definedName>
    <definedName name="ITEM6.1.12" localSheetId="19">#REF!</definedName>
    <definedName name="ITEM6.1.12" localSheetId="20">#REF!</definedName>
    <definedName name="ITEM6.1.12" localSheetId="6">#REF!</definedName>
    <definedName name="ITEM6.1.12" localSheetId="11">#REF!</definedName>
    <definedName name="ITEM6.1.12" localSheetId="12">#REF!</definedName>
    <definedName name="ITEM6.1.12" localSheetId="13">#REF!</definedName>
    <definedName name="ITEM6.1.12">#REF!</definedName>
    <definedName name="ITEM6.1.13" localSheetId="0">#REF!</definedName>
    <definedName name="ITEM6.1.13" localSheetId="1">#REF!</definedName>
    <definedName name="ITEM6.1.13" localSheetId="30">#REF!</definedName>
    <definedName name="ITEM6.1.13" localSheetId="14">#REF!</definedName>
    <definedName name="ITEM6.1.13" localSheetId="16">#REF!</definedName>
    <definedName name="ITEM6.1.13" localSheetId="7">#REF!</definedName>
    <definedName name="ITEM6.1.13" localSheetId="8">#REF!</definedName>
    <definedName name="ITEM6.1.13" localSheetId="9">#REF!</definedName>
    <definedName name="ITEM6.1.13" localSheetId="10">#REF!</definedName>
    <definedName name="ITEM6.1.13" localSheetId="19">#REF!</definedName>
    <definedName name="ITEM6.1.13" localSheetId="20">#REF!</definedName>
    <definedName name="ITEM6.1.13" localSheetId="6">#REF!</definedName>
    <definedName name="ITEM6.1.13" localSheetId="11">#REF!</definedName>
    <definedName name="ITEM6.1.13" localSheetId="12">#REF!</definedName>
    <definedName name="ITEM6.1.13" localSheetId="13">#REF!</definedName>
    <definedName name="ITEM6.1.13">#REF!</definedName>
    <definedName name="ITEM6.1.14" localSheetId="0">#REF!</definedName>
    <definedName name="ITEM6.1.14" localSheetId="1">#REF!</definedName>
    <definedName name="ITEM6.1.14" localSheetId="30">#REF!</definedName>
    <definedName name="ITEM6.1.14" localSheetId="14">#REF!</definedName>
    <definedName name="ITEM6.1.14" localSheetId="16">#REF!</definedName>
    <definedName name="ITEM6.1.14" localSheetId="7">#REF!</definedName>
    <definedName name="ITEM6.1.14" localSheetId="8">#REF!</definedName>
    <definedName name="ITEM6.1.14" localSheetId="9">#REF!</definedName>
    <definedName name="ITEM6.1.14" localSheetId="10">#REF!</definedName>
    <definedName name="ITEM6.1.14" localSheetId="19">#REF!</definedName>
    <definedName name="ITEM6.1.14" localSheetId="20">#REF!</definedName>
    <definedName name="ITEM6.1.14" localSheetId="6">#REF!</definedName>
    <definedName name="ITEM6.1.14" localSheetId="11">#REF!</definedName>
    <definedName name="ITEM6.1.14" localSheetId="12">#REF!</definedName>
    <definedName name="ITEM6.1.14" localSheetId="13">#REF!</definedName>
    <definedName name="ITEM6.1.14">#REF!</definedName>
    <definedName name="ITEM6.1.15" localSheetId="0">#REF!</definedName>
    <definedName name="ITEM6.1.15" localSheetId="1">#REF!</definedName>
    <definedName name="ITEM6.1.15" localSheetId="30">#REF!</definedName>
    <definedName name="ITEM6.1.15" localSheetId="14">#REF!</definedName>
    <definedName name="ITEM6.1.15" localSheetId="16">#REF!</definedName>
    <definedName name="ITEM6.1.15" localSheetId="7">#REF!</definedName>
    <definedName name="ITEM6.1.15" localSheetId="8">#REF!</definedName>
    <definedName name="ITEM6.1.15" localSheetId="9">#REF!</definedName>
    <definedName name="ITEM6.1.15" localSheetId="10">#REF!</definedName>
    <definedName name="ITEM6.1.15" localSheetId="19">#REF!</definedName>
    <definedName name="ITEM6.1.15" localSheetId="20">#REF!</definedName>
    <definedName name="ITEM6.1.15" localSheetId="6">#REF!</definedName>
    <definedName name="ITEM6.1.15" localSheetId="11">#REF!</definedName>
    <definedName name="ITEM6.1.15" localSheetId="12">#REF!</definedName>
    <definedName name="ITEM6.1.15" localSheetId="13">#REF!</definedName>
    <definedName name="ITEM6.1.15">#REF!</definedName>
    <definedName name="ITEM6.1.16" localSheetId="0">#REF!</definedName>
    <definedName name="ITEM6.1.16" localSheetId="1">#REF!</definedName>
    <definedName name="ITEM6.1.16" localSheetId="30">#REF!</definedName>
    <definedName name="ITEM6.1.16" localSheetId="14">#REF!</definedName>
    <definedName name="ITEM6.1.16" localSheetId="16">#REF!</definedName>
    <definedName name="ITEM6.1.16" localSheetId="7">#REF!</definedName>
    <definedName name="ITEM6.1.16" localSheetId="8">#REF!</definedName>
    <definedName name="ITEM6.1.16" localSheetId="9">#REF!</definedName>
    <definedName name="ITEM6.1.16" localSheetId="10">#REF!</definedName>
    <definedName name="ITEM6.1.16" localSheetId="19">#REF!</definedName>
    <definedName name="ITEM6.1.16" localSheetId="20">#REF!</definedName>
    <definedName name="ITEM6.1.16" localSheetId="6">#REF!</definedName>
    <definedName name="ITEM6.1.16" localSheetId="11">#REF!</definedName>
    <definedName name="ITEM6.1.16" localSheetId="12">#REF!</definedName>
    <definedName name="ITEM6.1.16" localSheetId="13">#REF!</definedName>
    <definedName name="ITEM6.1.16">#REF!</definedName>
    <definedName name="ITEM6.1.17" localSheetId="0">#REF!</definedName>
    <definedName name="ITEM6.1.17" localSheetId="1">#REF!</definedName>
    <definedName name="ITEM6.1.17" localSheetId="30">#REF!</definedName>
    <definedName name="ITEM6.1.17" localSheetId="14">#REF!</definedName>
    <definedName name="ITEM6.1.17" localSheetId="16">#REF!</definedName>
    <definedName name="ITEM6.1.17" localSheetId="7">#REF!</definedName>
    <definedName name="ITEM6.1.17" localSheetId="8">#REF!</definedName>
    <definedName name="ITEM6.1.17" localSheetId="9">#REF!</definedName>
    <definedName name="ITEM6.1.17" localSheetId="10">#REF!</definedName>
    <definedName name="ITEM6.1.17" localSheetId="19">#REF!</definedName>
    <definedName name="ITEM6.1.17" localSheetId="20">#REF!</definedName>
    <definedName name="ITEM6.1.17" localSheetId="6">#REF!</definedName>
    <definedName name="ITEM6.1.17" localSheetId="11">#REF!</definedName>
    <definedName name="ITEM6.1.17" localSheetId="12">#REF!</definedName>
    <definedName name="ITEM6.1.17" localSheetId="13">#REF!</definedName>
    <definedName name="ITEM6.1.17">#REF!</definedName>
    <definedName name="ITEM6.1.18" localSheetId="0">#REF!</definedName>
    <definedName name="ITEM6.1.18" localSheetId="1">#REF!</definedName>
    <definedName name="ITEM6.1.18" localSheetId="30">#REF!</definedName>
    <definedName name="ITEM6.1.18" localSheetId="14">#REF!</definedName>
    <definedName name="ITEM6.1.18" localSheetId="16">#REF!</definedName>
    <definedName name="ITEM6.1.18" localSheetId="7">#REF!</definedName>
    <definedName name="ITEM6.1.18" localSheetId="8">#REF!</definedName>
    <definedName name="ITEM6.1.18" localSheetId="9">#REF!</definedName>
    <definedName name="ITEM6.1.18" localSheetId="10">#REF!</definedName>
    <definedName name="ITEM6.1.18" localSheetId="19">#REF!</definedName>
    <definedName name="ITEM6.1.18" localSheetId="20">#REF!</definedName>
    <definedName name="ITEM6.1.18" localSheetId="6">#REF!</definedName>
    <definedName name="ITEM6.1.18" localSheetId="11">#REF!</definedName>
    <definedName name="ITEM6.1.18" localSheetId="12">#REF!</definedName>
    <definedName name="ITEM6.1.18" localSheetId="13">#REF!</definedName>
    <definedName name="ITEM6.1.18">#REF!</definedName>
    <definedName name="ITEM6.1.2.2" localSheetId="0">#REF!</definedName>
    <definedName name="ITEM6.1.2.2" localSheetId="1">#REF!</definedName>
    <definedName name="ITEM6.1.2.2" localSheetId="30">#REF!</definedName>
    <definedName name="ITEM6.1.2.2" localSheetId="14">#REF!</definedName>
    <definedName name="ITEM6.1.2.2" localSheetId="16">#REF!</definedName>
    <definedName name="ITEM6.1.2.2" localSheetId="7">#REF!</definedName>
    <definedName name="ITEM6.1.2.2" localSheetId="8">#REF!</definedName>
    <definedName name="ITEM6.1.2.2" localSheetId="9">#REF!</definedName>
    <definedName name="ITEM6.1.2.2" localSheetId="10">#REF!</definedName>
    <definedName name="ITEM6.1.2.2" localSheetId="19">#REF!</definedName>
    <definedName name="ITEM6.1.2.2" localSheetId="20">#REF!</definedName>
    <definedName name="ITEM6.1.2.2" localSheetId="6">#REF!</definedName>
    <definedName name="ITEM6.1.2.2" localSheetId="11">#REF!</definedName>
    <definedName name="ITEM6.1.2.2" localSheetId="12">#REF!</definedName>
    <definedName name="ITEM6.1.2.2" localSheetId="13">#REF!</definedName>
    <definedName name="ITEM6.1.2.2">#REF!</definedName>
    <definedName name="ITEM6.1.3" localSheetId="0">#REF!</definedName>
    <definedName name="ITEM6.1.3" localSheetId="1">#REF!</definedName>
    <definedName name="ITEM6.1.3" localSheetId="30">#REF!</definedName>
    <definedName name="ITEM6.1.3" localSheetId="14">#REF!</definedName>
    <definedName name="ITEM6.1.3" localSheetId="16">#REF!</definedName>
    <definedName name="ITEM6.1.3" localSheetId="7">#REF!</definedName>
    <definedName name="ITEM6.1.3" localSheetId="8">#REF!</definedName>
    <definedName name="ITEM6.1.3" localSheetId="9">#REF!</definedName>
    <definedName name="ITEM6.1.3" localSheetId="10">#REF!</definedName>
    <definedName name="ITEM6.1.3" localSheetId="19">#REF!</definedName>
    <definedName name="ITEM6.1.3" localSheetId="20">#REF!</definedName>
    <definedName name="ITEM6.1.3" localSheetId="6">#REF!</definedName>
    <definedName name="ITEM6.1.3" localSheetId="11">#REF!</definedName>
    <definedName name="ITEM6.1.3" localSheetId="12">#REF!</definedName>
    <definedName name="ITEM6.1.3" localSheetId="13">#REF!</definedName>
    <definedName name="ITEM6.1.3">#REF!</definedName>
    <definedName name="ITEM6.1.4.1" localSheetId="0">#REF!</definedName>
    <definedName name="ITEM6.1.4.1" localSheetId="1">#REF!</definedName>
    <definedName name="ITEM6.1.4.1" localSheetId="30">#REF!</definedName>
    <definedName name="ITEM6.1.4.1" localSheetId="14">#REF!</definedName>
    <definedName name="ITEM6.1.4.1" localSheetId="16">#REF!</definedName>
    <definedName name="ITEM6.1.4.1" localSheetId="7">#REF!</definedName>
    <definedName name="ITEM6.1.4.1" localSheetId="8">#REF!</definedName>
    <definedName name="ITEM6.1.4.1" localSheetId="9">#REF!</definedName>
    <definedName name="ITEM6.1.4.1" localSheetId="10">#REF!</definedName>
    <definedName name="ITEM6.1.4.1" localSheetId="19">#REF!</definedName>
    <definedName name="ITEM6.1.4.1" localSheetId="20">#REF!</definedName>
    <definedName name="ITEM6.1.4.1" localSheetId="6">#REF!</definedName>
    <definedName name="ITEM6.1.4.1" localSheetId="11">#REF!</definedName>
    <definedName name="ITEM6.1.4.1" localSheetId="12">#REF!</definedName>
    <definedName name="ITEM6.1.4.1" localSheetId="13">#REF!</definedName>
    <definedName name="ITEM6.1.4.1">#REF!</definedName>
    <definedName name="ITEM6.1.4.2" localSheetId="0">#REF!</definedName>
    <definedName name="ITEM6.1.4.2" localSheetId="1">#REF!</definedName>
    <definedName name="ITEM6.1.4.2" localSheetId="30">#REF!</definedName>
    <definedName name="ITEM6.1.4.2" localSheetId="14">#REF!</definedName>
    <definedName name="ITEM6.1.4.2" localSheetId="16">#REF!</definedName>
    <definedName name="ITEM6.1.4.2" localSheetId="7">#REF!</definedName>
    <definedName name="ITEM6.1.4.2" localSheetId="8">#REF!</definedName>
    <definedName name="ITEM6.1.4.2" localSheetId="9">#REF!</definedName>
    <definedName name="ITEM6.1.4.2" localSheetId="10">#REF!</definedName>
    <definedName name="ITEM6.1.4.2" localSheetId="19">#REF!</definedName>
    <definedName name="ITEM6.1.4.2" localSheetId="20">#REF!</definedName>
    <definedName name="ITEM6.1.4.2" localSheetId="6">#REF!</definedName>
    <definedName name="ITEM6.1.4.2" localSheetId="11">#REF!</definedName>
    <definedName name="ITEM6.1.4.2" localSheetId="12">#REF!</definedName>
    <definedName name="ITEM6.1.4.2" localSheetId="13">#REF!</definedName>
    <definedName name="ITEM6.1.4.2">#REF!</definedName>
    <definedName name="ITEM6.1.8" localSheetId="0">#REF!</definedName>
    <definedName name="ITEM6.1.8" localSheetId="1">#REF!</definedName>
    <definedName name="ITEM6.1.8" localSheetId="30">#REF!</definedName>
    <definedName name="ITEM6.1.8" localSheetId="14">#REF!</definedName>
    <definedName name="ITEM6.1.8" localSheetId="16">#REF!</definedName>
    <definedName name="ITEM6.1.8" localSheetId="7">#REF!</definedName>
    <definedName name="ITEM6.1.8" localSheetId="8">#REF!</definedName>
    <definedName name="ITEM6.1.8" localSheetId="9">#REF!</definedName>
    <definedName name="ITEM6.1.8" localSheetId="10">#REF!</definedName>
    <definedName name="ITEM6.1.8" localSheetId="19">#REF!</definedName>
    <definedName name="ITEM6.1.8" localSheetId="20">#REF!</definedName>
    <definedName name="ITEM6.1.8" localSheetId="6">#REF!</definedName>
    <definedName name="ITEM6.1.8" localSheetId="11">#REF!</definedName>
    <definedName name="ITEM6.1.8" localSheetId="12">#REF!</definedName>
    <definedName name="ITEM6.1.8" localSheetId="13">#REF!</definedName>
    <definedName name="ITEM6.1.8">#REF!</definedName>
    <definedName name="ITEM6.1.9" localSheetId="0">#REF!</definedName>
    <definedName name="ITEM6.1.9" localSheetId="1">#REF!</definedName>
    <definedName name="ITEM6.1.9" localSheetId="30">#REF!</definedName>
    <definedName name="ITEM6.1.9" localSheetId="14">#REF!</definedName>
    <definedName name="ITEM6.1.9" localSheetId="16">#REF!</definedName>
    <definedName name="ITEM6.1.9" localSheetId="7">#REF!</definedName>
    <definedName name="ITEM6.1.9" localSheetId="8">#REF!</definedName>
    <definedName name="ITEM6.1.9" localSheetId="9">#REF!</definedName>
    <definedName name="ITEM6.1.9" localSheetId="10">#REF!</definedName>
    <definedName name="ITEM6.1.9" localSheetId="19">#REF!</definedName>
    <definedName name="ITEM6.1.9" localSheetId="20">#REF!</definedName>
    <definedName name="ITEM6.1.9" localSheetId="6">#REF!</definedName>
    <definedName name="ITEM6.1.9" localSheetId="11">#REF!</definedName>
    <definedName name="ITEM6.1.9" localSheetId="12">#REF!</definedName>
    <definedName name="ITEM6.1.9" localSheetId="13">#REF!</definedName>
    <definedName name="ITEM6.1.9">#REF!</definedName>
    <definedName name="ITEM6.10.1" localSheetId="0">#REF!</definedName>
    <definedName name="ITEM6.10.1" localSheetId="1">#REF!</definedName>
    <definedName name="ITEM6.10.1" localSheetId="30">#REF!</definedName>
    <definedName name="ITEM6.10.1" localSheetId="14">#REF!</definedName>
    <definedName name="ITEM6.10.1" localSheetId="16">#REF!</definedName>
    <definedName name="ITEM6.10.1" localSheetId="7">#REF!</definedName>
    <definedName name="ITEM6.10.1" localSheetId="8">#REF!</definedName>
    <definedName name="ITEM6.10.1" localSheetId="9">#REF!</definedName>
    <definedName name="ITEM6.10.1" localSheetId="10">#REF!</definedName>
    <definedName name="ITEM6.10.1" localSheetId="19">#REF!</definedName>
    <definedName name="ITEM6.10.1" localSheetId="20">#REF!</definedName>
    <definedName name="ITEM6.10.1" localSheetId="6">#REF!</definedName>
    <definedName name="ITEM6.10.1" localSheetId="11">#REF!</definedName>
    <definedName name="ITEM6.10.1" localSheetId="12">#REF!</definedName>
    <definedName name="ITEM6.10.1" localSheetId="13">#REF!</definedName>
    <definedName name="ITEM6.10.1">#REF!</definedName>
    <definedName name="ITEM6.10.4.1" localSheetId="1">'[44]42หลักกิโล'!#REF!</definedName>
    <definedName name="ITEM6.10.4.1" localSheetId="30">'[44]42หลักกิโล'!#REF!</definedName>
    <definedName name="ITEM6.10.4.1">'[45]42หลักกิโล'!#REF!</definedName>
    <definedName name="ITEM6.10.4.2" localSheetId="1">'[44]42หลักกิโล'!#REF!</definedName>
    <definedName name="ITEM6.10.4.2" localSheetId="30">'[44]42หลักกิโล'!#REF!</definedName>
    <definedName name="ITEM6.10.4.2">'[45]42หลักกิโล'!#REF!</definedName>
    <definedName name="ITEM6.11.2.2" localSheetId="0">#REF!</definedName>
    <definedName name="ITEM6.11.2.2" localSheetId="1">#REF!</definedName>
    <definedName name="ITEM6.11.2.2" localSheetId="30">#REF!</definedName>
    <definedName name="ITEM6.11.2.2" localSheetId="14">#REF!</definedName>
    <definedName name="ITEM6.11.2.2" localSheetId="16">#REF!</definedName>
    <definedName name="ITEM6.11.2.2" localSheetId="7">#REF!</definedName>
    <definedName name="ITEM6.11.2.2" localSheetId="8">#REF!</definedName>
    <definedName name="ITEM6.11.2.2" localSheetId="9">#REF!</definedName>
    <definedName name="ITEM6.11.2.2" localSheetId="10">#REF!</definedName>
    <definedName name="ITEM6.11.2.2" localSheetId="19">#REF!</definedName>
    <definedName name="ITEM6.11.2.2" localSheetId="20">#REF!</definedName>
    <definedName name="ITEM6.11.2.2" localSheetId="6">#REF!</definedName>
    <definedName name="ITEM6.11.2.2" localSheetId="11">#REF!</definedName>
    <definedName name="ITEM6.11.2.2" localSheetId="12">#REF!</definedName>
    <definedName name="ITEM6.11.2.2" localSheetId="13">#REF!</definedName>
    <definedName name="ITEM6.11.2.2">#REF!</definedName>
    <definedName name="ITEM6.11.3.1" localSheetId="0">#REF!</definedName>
    <definedName name="ITEM6.11.3.1" localSheetId="1">#REF!</definedName>
    <definedName name="ITEM6.11.3.1" localSheetId="30">#REF!</definedName>
    <definedName name="ITEM6.11.3.1" localSheetId="14">#REF!</definedName>
    <definedName name="ITEM6.11.3.1" localSheetId="16">#REF!</definedName>
    <definedName name="ITEM6.11.3.1" localSheetId="7">#REF!</definedName>
    <definedName name="ITEM6.11.3.1" localSheetId="8">#REF!</definedName>
    <definedName name="ITEM6.11.3.1" localSheetId="9">#REF!</definedName>
    <definedName name="ITEM6.11.3.1" localSheetId="10">#REF!</definedName>
    <definedName name="ITEM6.11.3.1" localSheetId="19">#REF!</definedName>
    <definedName name="ITEM6.11.3.1" localSheetId="20">#REF!</definedName>
    <definedName name="ITEM6.11.3.1" localSheetId="6">#REF!</definedName>
    <definedName name="ITEM6.11.3.1" localSheetId="11">#REF!</definedName>
    <definedName name="ITEM6.11.3.1" localSheetId="12">#REF!</definedName>
    <definedName name="ITEM6.11.3.1" localSheetId="13">#REF!</definedName>
    <definedName name="ITEM6.11.3.1">#REF!</definedName>
    <definedName name="ITEM6.11.3.2" localSheetId="0">#REF!</definedName>
    <definedName name="ITEM6.11.3.2" localSheetId="1">#REF!</definedName>
    <definedName name="ITEM6.11.3.2" localSheetId="30">#REF!</definedName>
    <definedName name="ITEM6.11.3.2" localSheetId="14">#REF!</definedName>
    <definedName name="ITEM6.11.3.2" localSheetId="16">#REF!</definedName>
    <definedName name="ITEM6.11.3.2" localSheetId="7">#REF!</definedName>
    <definedName name="ITEM6.11.3.2" localSheetId="8">#REF!</definedName>
    <definedName name="ITEM6.11.3.2" localSheetId="9">#REF!</definedName>
    <definedName name="ITEM6.11.3.2" localSheetId="10">#REF!</definedName>
    <definedName name="ITEM6.11.3.2" localSheetId="19">#REF!</definedName>
    <definedName name="ITEM6.11.3.2" localSheetId="20">#REF!</definedName>
    <definedName name="ITEM6.11.3.2" localSheetId="6">#REF!</definedName>
    <definedName name="ITEM6.11.3.2" localSheetId="11">#REF!</definedName>
    <definedName name="ITEM6.11.3.2" localSheetId="12">#REF!</definedName>
    <definedName name="ITEM6.11.3.2" localSheetId="13">#REF!</definedName>
    <definedName name="ITEM6.11.3.2">#REF!</definedName>
    <definedName name="ITEM6.11.4.1" localSheetId="0">#REF!</definedName>
    <definedName name="ITEM6.11.4.1" localSheetId="1">#REF!</definedName>
    <definedName name="ITEM6.11.4.1" localSheetId="30">#REF!</definedName>
    <definedName name="ITEM6.11.4.1" localSheetId="14">#REF!</definedName>
    <definedName name="ITEM6.11.4.1" localSheetId="16">#REF!</definedName>
    <definedName name="ITEM6.11.4.1" localSheetId="7">#REF!</definedName>
    <definedName name="ITEM6.11.4.1" localSheetId="8">#REF!</definedName>
    <definedName name="ITEM6.11.4.1" localSheetId="9">#REF!</definedName>
    <definedName name="ITEM6.11.4.1" localSheetId="10">#REF!</definedName>
    <definedName name="ITEM6.11.4.1" localSheetId="19">#REF!</definedName>
    <definedName name="ITEM6.11.4.1" localSheetId="20">#REF!</definedName>
    <definedName name="ITEM6.11.4.1" localSheetId="6">#REF!</definedName>
    <definedName name="ITEM6.11.4.1" localSheetId="11">#REF!</definedName>
    <definedName name="ITEM6.11.4.1" localSheetId="12">#REF!</definedName>
    <definedName name="ITEM6.11.4.1" localSheetId="13">#REF!</definedName>
    <definedName name="ITEM6.11.4.1">#REF!</definedName>
    <definedName name="ITEM6.11.4.1.2" localSheetId="0">#REF!</definedName>
    <definedName name="ITEM6.11.4.1.2" localSheetId="1">#REF!</definedName>
    <definedName name="ITEM6.11.4.1.2" localSheetId="30">#REF!</definedName>
    <definedName name="ITEM6.11.4.1.2" localSheetId="14">#REF!</definedName>
    <definedName name="ITEM6.11.4.1.2" localSheetId="16">#REF!</definedName>
    <definedName name="ITEM6.11.4.1.2" localSheetId="7">#REF!</definedName>
    <definedName name="ITEM6.11.4.1.2" localSheetId="8">#REF!</definedName>
    <definedName name="ITEM6.11.4.1.2" localSheetId="9">#REF!</definedName>
    <definedName name="ITEM6.11.4.1.2" localSheetId="10">#REF!</definedName>
    <definedName name="ITEM6.11.4.1.2" localSheetId="19">#REF!</definedName>
    <definedName name="ITEM6.11.4.1.2" localSheetId="20">#REF!</definedName>
    <definedName name="ITEM6.11.4.1.2" localSheetId="6">#REF!</definedName>
    <definedName name="ITEM6.11.4.1.2" localSheetId="11">#REF!</definedName>
    <definedName name="ITEM6.11.4.1.2" localSheetId="12">#REF!</definedName>
    <definedName name="ITEM6.11.4.1.2" localSheetId="13">#REF!</definedName>
    <definedName name="ITEM6.11.4.1.2">#REF!</definedName>
    <definedName name="ITEM6.11.5.1" localSheetId="0">#REF!</definedName>
    <definedName name="ITEM6.11.5.1" localSheetId="1">#REF!</definedName>
    <definedName name="ITEM6.11.5.1" localSheetId="30">#REF!</definedName>
    <definedName name="ITEM6.11.5.1" localSheetId="14">#REF!</definedName>
    <definedName name="ITEM6.11.5.1" localSheetId="16">#REF!</definedName>
    <definedName name="ITEM6.11.5.1" localSheetId="7">#REF!</definedName>
    <definedName name="ITEM6.11.5.1" localSheetId="8">#REF!</definedName>
    <definedName name="ITEM6.11.5.1" localSheetId="9">#REF!</definedName>
    <definedName name="ITEM6.11.5.1" localSheetId="10">#REF!</definedName>
    <definedName name="ITEM6.11.5.1" localSheetId="19">#REF!</definedName>
    <definedName name="ITEM6.11.5.1" localSheetId="20">#REF!</definedName>
    <definedName name="ITEM6.11.5.1" localSheetId="6">#REF!</definedName>
    <definedName name="ITEM6.11.5.1" localSheetId="11">#REF!</definedName>
    <definedName name="ITEM6.11.5.1" localSheetId="12">#REF!</definedName>
    <definedName name="ITEM6.11.5.1" localSheetId="13">#REF!</definedName>
    <definedName name="ITEM6.11.5.1">#REF!</definedName>
    <definedName name="ITEM6.12.10.1" localSheetId="0">#REF!</definedName>
    <definedName name="ITEM6.12.10.1" localSheetId="1">#REF!</definedName>
    <definedName name="ITEM6.12.10.1" localSheetId="30">#REF!</definedName>
    <definedName name="ITEM6.12.10.1" localSheetId="14">#REF!</definedName>
    <definedName name="ITEM6.12.10.1" localSheetId="16">#REF!</definedName>
    <definedName name="ITEM6.12.10.1" localSheetId="7">#REF!</definedName>
    <definedName name="ITEM6.12.10.1" localSheetId="8">#REF!</definedName>
    <definedName name="ITEM6.12.10.1" localSheetId="9">#REF!</definedName>
    <definedName name="ITEM6.12.10.1" localSheetId="10">#REF!</definedName>
    <definedName name="ITEM6.12.10.1" localSheetId="19">#REF!</definedName>
    <definedName name="ITEM6.12.10.1" localSheetId="20">#REF!</definedName>
    <definedName name="ITEM6.12.10.1" localSheetId="6">#REF!</definedName>
    <definedName name="ITEM6.12.10.1" localSheetId="11">#REF!</definedName>
    <definedName name="ITEM6.12.10.1" localSheetId="12">#REF!</definedName>
    <definedName name="ITEM6.12.10.1" localSheetId="13">#REF!</definedName>
    <definedName name="ITEM6.12.10.1">#REF!</definedName>
    <definedName name="ITEM6.13.2.1" localSheetId="0">#REF!</definedName>
    <definedName name="ITEM6.13.2.1" localSheetId="1">#REF!</definedName>
    <definedName name="ITEM6.13.2.1" localSheetId="30">#REF!</definedName>
    <definedName name="ITEM6.13.2.1" localSheetId="14">#REF!</definedName>
    <definedName name="ITEM6.13.2.1" localSheetId="16">#REF!</definedName>
    <definedName name="ITEM6.13.2.1" localSheetId="7">#REF!</definedName>
    <definedName name="ITEM6.13.2.1" localSheetId="8">#REF!</definedName>
    <definedName name="ITEM6.13.2.1" localSheetId="9">#REF!</definedName>
    <definedName name="ITEM6.13.2.1" localSheetId="10">#REF!</definedName>
    <definedName name="ITEM6.13.2.1" localSheetId="19">#REF!</definedName>
    <definedName name="ITEM6.13.2.1" localSheetId="20">#REF!</definedName>
    <definedName name="ITEM6.13.2.1" localSheetId="6">#REF!</definedName>
    <definedName name="ITEM6.13.2.1" localSheetId="11">#REF!</definedName>
    <definedName name="ITEM6.13.2.1" localSheetId="12">#REF!</definedName>
    <definedName name="ITEM6.13.2.1" localSheetId="13">#REF!</definedName>
    <definedName name="ITEM6.13.2.1">#REF!</definedName>
    <definedName name="ITEM6.14.1" localSheetId="0">#REF!</definedName>
    <definedName name="ITEM6.14.1" localSheetId="1">#REF!</definedName>
    <definedName name="ITEM6.14.1" localSheetId="30">#REF!</definedName>
    <definedName name="ITEM6.14.1" localSheetId="14">#REF!</definedName>
    <definedName name="ITEM6.14.1" localSheetId="16">#REF!</definedName>
    <definedName name="ITEM6.14.1" localSheetId="7">#REF!</definedName>
    <definedName name="ITEM6.14.1" localSheetId="8">#REF!</definedName>
    <definedName name="ITEM6.14.1" localSheetId="9">#REF!</definedName>
    <definedName name="ITEM6.14.1" localSheetId="10">#REF!</definedName>
    <definedName name="ITEM6.14.1" localSheetId="19">#REF!</definedName>
    <definedName name="ITEM6.14.1" localSheetId="20">#REF!</definedName>
    <definedName name="ITEM6.14.1" localSheetId="6">#REF!</definedName>
    <definedName name="ITEM6.14.1" localSheetId="11">#REF!</definedName>
    <definedName name="ITEM6.14.1" localSheetId="12">#REF!</definedName>
    <definedName name="ITEM6.14.1" localSheetId="13">#REF!</definedName>
    <definedName name="ITEM6.14.1">#REF!</definedName>
    <definedName name="ITEM6.14.2" localSheetId="0">#REF!</definedName>
    <definedName name="ITEM6.14.2" localSheetId="1">#REF!</definedName>
    <definedName name="ITEM6.14.2" localSheetId="30">#REF!</definedName>
    <definedName name="ITEM6.14.2" localSheetId="14">#REF!</definedName>
    <definedName name="ITEM6.14.2" localSheetId="16">#REF!</definedName>
    <definedName name="ITEM6.14.2" localSheetId="7">#REF!</definedName>
    <definedName name="ITEM6.14.2" localSheetId="8">#REF!</definedName>
    <definedName name="ITEM6.14.2" localSheetId="9">#REF!</definedName>
    <definedName name="ITEM6.14.2" localSheetId="10">#REF!</definedName>
    <definedName name="ITEM6.14.2" localSheetId="19">#REF!</definedName>
    <definedName name="ITEM6.14.2" localSheetId="20">#REF!</definedName>
    <definedName name="ITEM6.14.2" localSheetId="6">#REF!</definedName>
    <definedName name="ITEM6.14.2" localSheetId="11">#REF!</definedName>
    <definedName name="ITEM6.14.2" localSheetId="12">#REF!</definedName>
    <definedName name="ITEM6.14.2" localSheetId="13">#REF!</definedName>
    <definedName name="ITEM6.14.2">#REF!</definedName>
    <definedName name="ITEM6.15.4" localSheetId="0">#REF!</definedName>
    <definedName name="ITEM6.15.4" localSheetId="1">#REF!</definedName>
    <definedName name="ITEM6.15.4" localSheetId="30">#REF!</definedName>
    <definedName name="ITEM6.15.4" localSheetId="14">#REF!</definedName>
    <definedName name="ITEM6.15.4" localSheetId="16">#REF!</definedName>
    <definedName name="ITEM6.15.4" localSheetId="7">#REF!</definedName>
    <definedName name="ITEM6.15.4" localSheetId="8">#REF!</definedName>
    <definedName name="ITEM6.15.4" localSheetId="9">#REF!</definedName>
    <definedName name="ITEM6.15.4" localSheetId="10">#REF!</definedName>
    <definedName name="ITEM6.15.4" localSheetId="19">#REF!</definedName>
    <definedName name="ITEM6.15.4" localSheetId="20">#REF!</definedName>
    <definedName name="ITEM6.15.4" localSheetId="6">#REF!</definedName>
    <definedName name="ITEM6.15.4" localSheetId="11">#REF!</definedName>
    <definedName name="ITEM6.15.4" localSheetId="12">#REF!</definedName>
    <definedName name="ITEM6.15.4" localSheetId="13">#REF!</definedName>
    <definedName name="ITEM6.15.4">#REF!</definedName>
    <definedName name="ITEM6.15.4.2" localSheetId="0">#REF!</definedName>
    <definedName name="ITEM6.15.4.2" localSheetId="1">#REF!</definedName>
    <definedName name="ITEM6.15.4.2" localSheetId="30">#REF!</definedName>
    <definedName name="ITEM6.15.4.2" localSheetId="14">#REF!</definedName>
    <definedName name="ITEM6.15.4.2" localSheetId="16">#REF!</definedName>
    <definedName name="ITEM6.15.4.2" localSheetId="7">#REF!</definedName>
    <definedName name="ITEM6.15.4.2" localSheetId="8">#REF!</definedName>
    <definedName name="ITEM6.15.4.2" localSheetId="9">#REF!</definedName>
    <definedName name="ITEM6.15.4.2" localSheetId="10">#REF!</definedName>
    <definedName name="ITEM6.15.4.2" localSheetId="19">#REF!</definedName>
    <definedName name="ITEM6.15.4.2" localSheetId="20">#REF!</definedName>
    <definedName name="ITEM6.15.4.2" localSheetId="6">#REF!</definedName>
    <definedName name="ITEM6.15.4.2" localSheetId="11">#REF!</definedName>
    <definedName name="ITEM6.15.4.2" localSheetId="12">#REF!</definedName>
    <definedName name="ITEM6.15.4.2" localSheetId="13">#REF!</definedName>
    <definedName name="ITEM6.15.4.2">#REF!</definedName>
    <definedName name="ITEM6.15.7" localSheetId="0">#REF!</definedName>
    <definedName name="ITEM6.15.7" localSheetId="1">#REF!</definedName>
    <definedName name="ITEM6.15.7" localSheetId="30">#REF!</definedName>
    <definedName name="ITEM6.15.7" localSheetId="14">#REF!</definedName>
    <definedName name="ITEM6.15.7" localSheetId="16">#REF!</definedName>
    <definedName name="ITEM6.15.7" localSheetId="7">#REF!</definedName>
    <definedName name="ITEM6.15.7" localSheetId="8">#REF!</definedName>
    <definedName name="ITEM6.15.7" localSheetId="9">#REF!</definedName>
    <definedName name="ITEM6.15.7" localSheetId="10">#REF!</definedName>
    <definedName name="ITEM6.15.7" localSheetId="19">#REF!</definedName>
    <definedName name="ITEM6.15.7" localSheetId="20">#REF!</definedName>
    <definedName name="ITEM6.15.7" localSheetId="6">#REF!</definedName>
    <definedName name="ITEM6.15.7" localSheetId="11">#REF!</definedName>
    <definedName name="ITEM6.15.7" localSheetId="12">#REF!</definedName>
    <definedName name="ITEM6.15.7" localSheetId="13">#REF!</definedName>
    <definedName name="ITEM6.15.7">#REF!</definedName>
    <definedName name="ITEM6.16" localSheetId="0">#REF!</definedName>
    <definedName name="ITEM6.16" localSheetId="1">#REF!</definedName>
    <definedName name="ITEM6.16" localSheetId="30">#REF!</definedName>
    <definedName name="ITEM6.16" localSheetId="14">#REF!</definedName>
    <definedName name="ITEM6.16" localSheetId="16">#REF!</definedName>
    <definedName name="ITEM6.16" localSheetId="7">#REF!</definedName>
    <definedName name="ITEM6.16" localSheetId="8">#REF!</definedName>
    <definedName name="ITEM6.16" localSheetId="9">#REF!</definedName>
    <definedName name="ITEM6.16" localSheetId="10">#REF!</definedName>
    <definedName name="ITEM6.16" localSheetId="19">#REF!</definedName>
    <definedName name="ITEM6.16" localSheetId="20">#REF!</definedName>
    <definedName name="ITEM6.16" localSheetId="6">#REF!</definedName>
    <definedName name="ITEM6.16" localSheetId="11">#REF!</definedName>
    <definedName name="ITEM6.16" localSheetId="12">#REF!</definedName>
    <definedName name="ITEM6.16" localSheetId="13">#REF!</definedName>
    <definedName name="ITEM6.16">#REF!</definedName>
    <definedName name="ITEM6.17.1" localSheetId="0">#REF!</definedName>
    <definedName name="ITEM6.17.1" localSheetId="1">#REF!</definedName>
    <definedName name="ITEM6.17.1" localSheetId="30">#REF!</definedName>
    <definedName name="ITEM6.17.1" localSheetId="14">#REF!</definedName>
    <definedName name="ITEM6.17.1" localSheetId="16">#REF!</definedName>
    <definedName name="ITEM6.17.1" localSheetId="7">#REF!</definedName>
    <definedName name="ITEM6.17.1" localSheetId="8">#REF!</definedName>
    <definedName name="ITEM6.17.1" localSheetId="9">#REF!</definedName>
    <definedName name="ITEM6.17.1" localSheetId="10">#REF!</definedName>
    <definedName name="ITEM6.17.1" localSheetId="19">#REF!</definedName>
    <definedName name="ITEM6.17.1" localSheetId="20">#REF!</definedName>
    <definedName name="ITEM6.17.1" localSheetId="6">#REF!</definedName>
    <definedName name="ITEM6.17.1" localSheetId="11">#REF!</definedName>
    <definedName name="ITEM6.17.1" localSheetId="12">#REF!</definedName>
    <definedName name="ITEM6.17.1" localSheetId="13">#REF!</definedName>
    <definedName name="ITEM6.17.1">#REF!</definedName>
    <definedName name="ITEM6.17.2" localSheetId="0">#REF!</definedName>
    <definedName name="ITEM6.17.2" localSheetId="1">#REF!</definedName>
    <definedName name="ITEM6.17.2" localSheetId="30">#REF!</definedName>
    <definedName name="ITEM6.17.2" localSheetId="14">#REF!</definedName>
    <definedName name="ITEM6.17.2" localSheetId="16">#REF!</definedName>
    <definedName name="ITEM6.17.2" localSheetId="7">#REF!</definedName>
    <definedName name="ITEM6.17.2" localSheetId="8">#REF!</definedName>
    <definedName name="ITEM6.17.2" localSheetId="9">#REF!</definedName>
    <definedName name="ITEM6.17.2" localSheetId="10">#REF!</definedName>
    <definedName name="ITEM6.17.2" localSheetId="19">#REF!</definedName>
    <definedName name="ITEM6.17.2" localSheetId="20">#REF!</definedName>
    <definedName name="ITEM6.17.2" localSheetId="6">#REF!</definedName>
    <definedName name="ITEM6.17.2" localSheetId="11">#REF!</definedName>
    <definedName name="ITEM6.17.2" localSheetId="12">#REF!</definedName>
    <definedName name="ITEM6.17.2" localSheetId="13">#REF!</definedName>
    <definedName name="ITEM6.17.2">#REF!</definedName>
    <definedName name="ITEM6.17.3" localSheetId="0">#REF!</definedName>
    <definedName name="ITEM6.17.3" localSheetId="1">#REF!</definedName>
    <definedName name="ITEM6.17.3" localSheetId="30">#REF!</definedName>
    <definedName name="ITEM6.17.3" localSheetId="14">#REF!</definedName>
    <definedName name="ITEM6.17.3" localSheetId="16">#REF!</definedName>
    <definedName name="ITEM6.17.3" localSheetId="7">#REF!</definedName>
    <definedName name="ITEM6.17.3" localSheetId="8">#REF!</definedName>
    <definedName name="ITEM6.17.3" localSheetId="9">#REF!</definedName>
    <definedName name="ITEM6.17.3" localSheetId="10">#REF!</definedName>
    <definedName name="ITEM6.17.3" localSheetId="19">#REF!</definedName>
    <definedName name="ITEM6.17.3" localSheetId="20">#REF!</definedName>
    <definedName name="ITEM6.17.3" localSheetId="6">#REF!</definedName>
    <definedName name="ITEM6.17.3" localSheetId="11">#REF!</definedName>
    <definedName name="ITEM6.17.3" localSheetId="12">#REF!</definedName>
    <definedName name="ITEM6.17.3" localSheetId="13">#REF!</definedName>
    <definedName name="ITEM6.17.3">#REF!</definedName>
    <definedName name="ITEM6.17.4" localSheetId="0">#REF!</definedName>
    <definedName name="ITEM6.17.4" localSheetId="1">#REF!</definedName>
    <definedName name="ITEM6.17.4" localSheetId="30">#REF!</definedName>
    <definedName name="ITEM6.17.4" localSheetId="14">#REF!</definedName>
    <definedName name="ITEM6.17.4" localSheetId="16">#REF!</definedName>
    <definedName name="ITEM6.17.4" localSheetId="7">#REF!</definedName>
    <definedName name="ITEM6.17.4" localSheetId="8">#REF!</definedName>
    <definedName name="ITEM6.17.4" localSheetId="9">#REF!</definedName>
    <definedName name="ITEM6.17.4" localSheetId="10">#REF!</definedName>
    <definedName name="ITEM6.17.4" localSheetId="19">#REF!</definedName>
    <definedName name="ITEM6.17.4" localSheetId="20">#REF!</definedName>
    <definedName name="ITEM6.17.4" localSheetId="6">#REF!</definedName>
    <definedName name="ITEM6.17.4" localSheetId="11">#REF!</definedName>
    <definedName name="ITEM6.17.4" localSheetId="12">#REF!</definedName>
    <definedName name="ITEM6.17.4" localSheetId="13">#REF!</definedName>
    <definedName name="ITEM6.17.4">#REF!</definedName>
    <definedName name="ITEM6.17.5" localSheetId="0">#REF!</definedName>
    <definedName name="ITEM6.17.5" localSheetId="1">#REF!</definedName>
    <definedName name="ITEM6.17.5" localSheetId="30">#REF!</definedName>
    <definedName name="ITEM6.17.5" localSheetId="14">#REF!</definedName>
    <definedName name="ITEM6.17.5" localSheetId="16">#REF!</definedName>
    <definedName name="ITEM6.17.5" localSheetId="7">#REF!</definedName>
    <definedName name="ITEM6.17.5" localSheetId="8">#REF!</definedName>
    <definedName name="ITEM6.17.5" localSheetId="9">#REF!</definedName>
    <definedName name="ITEM6.17.5" localSheetId="10">#REF!</definedName>
    <definedName name="ITEM6.17.5" localSheetId="19">#REF!</definedName>
    <definedName name="ITEM6.17.5" localSheetId="20">#REF!</definedName>
    <definedName name="ITEM6.17.5" localSheetId="6">#REF!</definedName>
    <definedName name="ITEM6.17.5" localSheetId="11">#REF!</definedName>
    <definedName name="ITEM6.17.5" localSheetId="12">#REF!</definedName>
    <definedName name="ITEM6.17.5" localSheetId="13">#REF!</definedName>
    <definedName name="ITEM6.17.5">#REF!</definedName>
    <definedName name="ITEM6.17.6" localSheetId="0">#REF!</definedName>
    <definedName name="ITEM6.17.6" localSheetId="1">#REF!</definedName>
    <definedName name="ITEM6.17.6" localSheetId="30">#REF!</definedName>
    <definedName name="ITEM6.17.6" localSheetId="14">#REF!</definedName>
    <definedName name="ITEM6.17.6" localSheetId="16">#REF!</definedName>
    <definedName name="ITEM6.17.6" localSheetId="7">#REF!</definedName>
    <definedName name="ITEM6.17.6" localSheetId="8">#REF!</definedName>
    <definedName name="ITEM6.17.6" localSheetId="9">#REF!</definedName>
    <definedName name="ITEM6.17.6" localSheetId="10">#REF!</definedName>
    <definedName name="ITEM6.17.6" localSheetId="19">#REF!</definedName>
    <definedName name="ITEM6.17.6" localSheetId="20">#REF!</definedName>
    <definedName name="ITEM6.17.6" localSheetId="6">#REF!</definedName>
    <definedName name="ITEM6.17.6" localSheetId="11">#REF!</definedName>
    <definedName name="ITEM6.17.6" localSheetId="12">#REF!</definedName>
    <definedName name="ITEM6.17.6" localSheetId="13">#REF!</definedName>
    <definedName name="ITEM6.17.6">#REF!</definedName>
    <definedName name="ITEM6.18.4.1" localSheetId="0">#REF!</definedName>
    <definedName name="ITEM6.18.4.1" localSheetId="1">#REF!</definedName>
    <definedName name="ITEM6.18.4.1" localSheetId="30">#REF!</definedName>
    <definedName name="ITEM6.18.4.1" localSheetId="14">#REF!</definedName>
    <definedName name="ITEM6.18.4.1" localSheetId="16">#REF!</definedName>
    <definedName name="ITEM6.18.4.1" localSheetId="7">#REF!</definedName>
    <definedName name="ITEM6.18.4.1" localSheetId="8">#REF!</definedName>
    <definedName name="ITEM6.18.4.1" localSheetId="9">#REF!</definedName>
    <definedName name="ITEM6.18.4.1" localSheetId="10">#REF!</definedName>
    <definedName name="ITEM6.18.4.1" localSheetId="19">#REF!</definedName>
    <definedName name="ITEM6.18.4.1" localSheetId="20">#REF!</definedName>
    <definedName name="ITEM6.18.4.1" localSheetId="6">#REF!</definedName>
    <definedName name="ITEM6.18.4.1" localSheetId="11">#REF!</definedName>
    <definedName name="ITEM6.18.4.1" localSheetId="12">#REF!</definedName>
    <definedName name="ITEM6.18.4.1" localSheetId="13">#REF!</definedName>
    <definedName name="ITEM6.18.4.1">#REF!</definedName>
    <definedName name="ITEM6.2.1" localSheetId="0">#REF!</definedName>
    <definedName name="ITEM6.2.1" localSheetId="1">#REF!</definedName>
    <definedName name="ITEM6.2.1" localSheetId="30">#REF!</definedName>
    <definedName name="ITEM6.2.1" localSheetId="14">#REF!</definedName>
    <definedName name="ITEM6.2.1" localSheetId="16">#REF!</definedName>
    <definedName name="ITEM6.2.1" localSheetId="7">#REF!</definedName>
    <definedName name="ITEM6.2.1" localSheetId="8">#REF!</definedName>
    <definedName name="ITEM6.2.1" localSheetId="9">#REF!</definedName>
    <definedName name="ITEM6.2.1" localSheetId="10">#REF!</definedName>
    <definedName name="ITEM6.2.1" localSheetId="19">#REF!</definedName>
    <definedName name="ITEM6.2.1" localSheetId="20">#REF!</definedName>
    <definedName name="ITEM6.2.1" localSheetId="6">#REF!</definedName>
    <definedName name="ITEM6.2.1" localSheetId="11">#REF!</definedName>
    <definedName name="ITEM6.2.1" localSheetId="12">#REF!</definedName>
    <definedName name="ITEM6.2.1" localSheetId="13">#REF!</definedName>
    <definedName name="ITEM6.2.1">#REF!</definedName>
    <definedName name="ITEM6.2.2" localSheetId="0">#REF!</definedName>
    <definedName name="ITEM6.2.2" localSheetId="1">#REF!</definedName>
    <definedName name="ITEM6.2.2" localSheetId="30">#REF!</definedName>
    <definedName name="ITEM6.2.2" localSheetId="14">#REF!</definedName>
    <definedName name="ITEM6.2.2" localSheetId="16">#REF!</definedName>
    <definedName name="ITEM6.2.2" localSheetId="7">#REF!</definedName>
    <definedName name="ITEM6.2.2" localSheetId="8">#REF!</definedName>
    <definedName name="ITEM6.2.2" localSheetId="9">#REF!</definedName>
    <definedName name="ITEM6.2.2" localSheetId="10">#REF!</definedName>
    <definedName name="ITEM6.2.2" localSheetId="19">#REF!</definedName>
    <definedName name="ITEM6.2.2" localSheetId="20">#REF!</definedName>
    <definedName name="ITEM6.2.2" localSheetId="6">#REF!</definedName>
    <definedName name="ITEM6.2.2" localSheetId="11">#REF!</definedName>
    <definedName name="ITEM6.2.2" localSheetId="12">#REF!</definedName>
    <definedName name="ITEM6.2.2" localSheetId="13">#REF!</definedName>
    <definedName name="ITEM6.2.2">#REF!</definedName>
    <definedName name="ITEM6.21" localSheetId="1">'[44]52ป้ายชั่วคราว+ด่าน'!#REF!</definedName>
    <definedName name="ITEM6.21" localSheetId="30">'[44]52ป้ายชั่วคราว+ด่าน'!#REF!</definedName>
    <definedName name="ITEM6.21">'[45]52ป้ายชั่วคราว+ด่าน'!#REF!</definedName>
    <definedName name="ITEM6.22" localSheetId="1">'[44]52ป้ายชั่วคราว+ด่าน'!#REF!</definedName>
    <definedName name="ITEM6.22" localSheetId="30">'[44]52ป้ายชั่วคราว+ด่าน'!#REF!</definedName>
    <definedName name="ITEM6.22">'[45]52ป้ายชั่วคราว+ด่าน'!#REF!</definedName>
    <definedName name="ITEM6.3.1.1" localSheetId="0">#REF!</definedName>
    <definedName name="ITEM6.3.1.1" localSheetId="1">#REF!</definedName>
    <definedName name="ITEM6.3.1.1" localSheetId="30">#REF!</definedName>
    <definedName name="ITEM6.3.1.1" localSheetId="14">#REF!</definedName>
    <definedName name="ITEM6.3.1.1" localSheetId="16">#REF!</definedName>
    <definedName name="ITEM6.3.1.1" localSheetId="7">#REF!</definedName>
    <definedName name="ITEM6.3.1.1" localSheetId="8">#REF!</definedName>
    <definedName name="ITEM6.3.1.1" localSheetId="9">#REF!</definedName>
    <definedName name="ITEM6.3.1.1" localSheetId="10">#REF!</definedName>
    <definedName name="ITEM6.3.1.1" localSheetId="19">#REF!</definedName>
    <definedName name="ITEM6.3.1.1" localSheetId="20">#REF!</definedName>
    <definedName name="ITEM6.3.1.1" localSheetId="6">#REF!</definedName>
    <definedName name="ITEM6.3.1.1" localSheetId="11">#REF!</definedName>
    <definedName name="ITEM6.3.1.1" localSheetId="12">#REF!</definedName>
    <definedName name="ITEM6.3.1.1" localSheetId="13">#REF!</definedName>
    <definedName name="ITEM6.3.1.1">#REF!</definedName>
    <definedName name="ITEM6.3.1.2.1" localSheetId="0">#REF!</definedName>
    <definedName name="ITEM6.3.1.2.1" localSheetId="1">#REF!</definedName>
    <definedName name="ITEM6.3.1.2.1" localSheetId="30">#REF!</definedName>
    <definedName name="ITEM6.3.1.2.1" localSheetId="14">#REF!</definedName>
    <definedName name="ITEM6.3.1.2.1" localSheetId="16">#REF!</definedName>
    <definedName name="ITEM6.3.1.2.1" localSheetId="7">#REF!</definedName>
    <definedName name="ITEM6.3.1.2.1" localSheetId="8">#REF!</definedName>
    <definedName name="ITEM6.3.1.2.1" localSheetId="9">#REF!</definedName>
    <definedName name="ITEM6.3.1.2.1" localSheetId="10">#REF!</definedName>
    <definedName name="ITEM6.3.1.2.1" localSheetId="19">#REF!</definedName>
    <definedName name="ITEM6.3.1.2.1" localSheetId="20">#REF!</definedName>
    <definedName name="ITEM6.3.1.2.1" localSheetId="6">#REF!</definedName>
    <definedName name="ITEM6.3.1.2.1" localSheetId="11">#REF!</definedName>
    <definedName name="ITEM6.3.1.2.1" localSheetId="12">#REF!</definedName>
    <definedName name="ITEM6.3.1.2.1" localSheetId="13">#REF!</definedName>
    <definedName name="ITEM6.3.1.2.1">#REF!</definedName>
    <definedName name="ITEM6.3.1.2.2" localSheetId="0">#REF!</definedName>
    <definedName name="ITEM6.3.1.2.2" localSheetId="1">#REF!</definedName>
    <definedName name="ITEM6.3.1.2.2" localSheetId="30">#REF!</definedName>
    <definedName name="ITEM6.3.1.2.2" localSheetId="14">#REF!</definedName>
    <definedName name="ITEM6.3.1.2.2" localSheetId="16">#REF!</definedName>
    <definedName name="ITEM6.3.1.2.2" localSheetId="7">#REF!</definedName>
    <definedName name="ITEM6.3.1.2.2" localSheetId="8">#REF!</definedName>
    <definedName name="ITEM6.3.1.2.2" localSheetId="9">#REF!</definedName>
    <definedName name="ITEM6.3.1.2.2" localSheetId="10">#REF!</definedName>
    <definedName name="ITEM6.3.1.2.2" localSheetId="19">#REF!</definedName>
    <definedName name="ITEM6.3.1.2.2" localSheetId="20">#REF!</definedName>
    <definedName name="ITEM6.3.1.2.2" localSheetId="6">#REF!</definedName>
    <definedName name="ITEM6.3.1.2.2" localSheetId="11">#REF!</definedName>
    <definedName name="ITEM6.3.1.2.2" localSheetId="12">#REF!</definedName>
    <definedName name="ITEM6.3.1.2.2" localSheetId="13">#REF!</definedName>
    <definedName name="ITEM6.3.1.2.2">#REF!</definedName>
    <definedName name="ITEM6.3.1.2.3" localSheetId="0">#REF!</definedName>
    <definedName name="ITEM6.3.1.2.3" localSheetId="1">#REF!</definedName>
    <definedName name="ITEM6.3.1.2.3" localSheetId="30">#REF!</definedName>
    <definedName name="ITEM6.3.1.2.3" localSheetId="14">#REF!</definedName>
    <definedName name="ITEM6.3.1.2.3" localSheetId="16">#REF!</definedName>
    <definedName name="ITEM6.3.1.2.3" localSheetId="7">#REF!</definedName>
    <definedName name="ITEM6.3.1.2.3" localSheetId="8">#REF!</definedName>
    <definedName name="ITEM6.3.1.2.3" localSheetId="9">#REF!</definedName>
    <definedName name="ITEM6.3.1.2.3" localSheetId="10">#REF!</definedName>
    <definedName name="ITEM6.3.1.2.3" localSheetId="19">#REF!</definedName>
    <definedName name="ITEM6.3.1.2.3" localSheetId="20">#REF!</definedName>
    <definedName name="ITEM6.3.1.2.3" localSheetId="6">#REF!</definedName>
    <definedName name="ITEM6.3.1.2.3" localSheetId="11">#REF!</definedName>
    <definedName name="ITEM6.3.1.2.3" localSheetId="12">#REF!</definedName>
    <definedName name="ITEM6.3.1.2.3" localSheetId="13">#REF!</definedName>
    <definedName name="ITEM6.3.1.2.3">#REF!</definedName>
    <definedName name="ITEM6.3.1.2.4" localSheetId="0">#REF!</definedName>
    <definedName name="ITEM6.3.1.2.4" localSheetId="1">#REF!</definedName>
    <definedName name="ITEM6.3.1.2.4" localSheetId="30">#REF!</definedName>
    <definedName name="ITEM6.3.1.2.4" localSheetId="14">#REF!</definedName>
    <definedName name="ITEM6.3.1.2.4" localSheetId="16">#REF!</definedName>
    <definedName name="ITEM6.3.1.2.4" localSheetId="7">#REF!</definedName>
    <definedName name="ITEM6.3.1.2.4" localSheetId="8">#REF!</definedName>
    <definedName name="ITEM6.3.1.2.4" localSheetId="9">#REF!</definedName>
    <definedName name="ITEM6.3.1.2.4" localSheetId="10">#REF!</definedName>
    <definedName name="ITEM6.3.1.2.4" localSheetId="19">#REF!</definedName>
    <definedName name="ITEM6.3.1.2.4" localSheetId="20">#REF!</definedName>
    <definedName name="ITEM6.3.1.2.4" localSheetId="6">#REF!</definedName>
    <definedName name="ITEM6.3.1.2.4" localSheetId="11">#REF!</definedName>
    <definedName name="ITEM6.3.1.2.4" localSheetId="12">#REF!</definedName>
    <definedName name="ITEM6.3.1.2.4" localSheetId="13">#REF!</definedName>
    <definedName name="ITEM6.3.1.2.4">#REF!</definedName>
    <definedName name="ITEM6.3.1.2.5" localSheetId="0">#REF!</definedName>
    <definedName name="ITEM6.3.1.2.5" localSheetId="1">#REF!</definedName>
    <definedName name="ITEM6.3.1.2.5" localSheetId="30">#REF!</definedName>
    <definedName name="ITEM6.3.1.2.5" localSheetId="14">#REF!</definedName>
    <definedName name="ITEM6.3.1.2.5" localSheetId="16">#REF!</definedName>
    <definedName name="ITEM6.3.1.2.5" localSheetId="7">#REF!</definedName>
    <definedName name="ITEM6.3.1.2.5" localSheetId="8">#REF!</definedName>
    <definedName name="ITEM6.3.1.2.5" localSheetId="9">#REF!</definedName>
    <definedName name="ITEM6.3.1.2.5" localSheetId="10">#REF!</definedName>
    <definedName name="ITEM6.3.1.2.5" localSheetId="19">#REF!</definedName>
    <definedName name="ITEM6.3.1.2.5" localSheetId="20">#REF!</definedName>
    <definedName name="ITEM6.3.1.2.5" localSheetId="6">#REF!</definedName>
    <definedName name="ITEM6.3.1.2.5" localSheetId="11">#REF!</definedName>
    <definedName name="ITEM6.3.1.2.5" localSheetId="12">#REF!</definedName>
    <definedName name="ITEM6.3.1.2.5" localSheetId="13">#REF!</definedName>
    <definedName name="ITEM6.3.1.2.5">#REF!</definedName>
    <definedName name="ITEM6.3.1.2.6" localSheetId="0">#REF!</definedName>
    <definedName name="ITEM6.3.1.2.6" localSheetId="1">#REF!</definedName>
    <definedName name="ITEM6.3.1.2.6" localSheetId="30">#REF!</definedName>
    <definedName name="ITEM6.3.1.2.6" localSheetId="14">#REF!</definedName>
    <definedName name="ITEM6.3.1.2.6" localSheetId="16">#REF!</definedName>
    <definedName name="ITEM6.3.1.2.6" localSheetId="7">#REF!</definedName>
    <definedName name="ITEM6.3.1.2.6" localSheetId="8">#REF!</definedName>
    <definedName name="ITEM6.3.1.2.6" localSheetId="9">#REF!</definedName>
    <definedName name="ITEM6.3.1.2.6" localSheetId="10">#REF!</definedName>
    <definedName name="ITEM6.3.1.2.6" localSheetId="19">#REF!</definedName>
    <definedName name="ITEM6.3.1.2.6" localSheetId="20">#REF!</definedName>
    <definedName name="ITEM6.3.1.2.6" localSheetId="6">#REF!</definedName>
    <definedName name="ITEM6.3.1.2.6" localSheetId="11">#REF!</definedName>
    <definedName name="ITEM6.3.1.2.6" localSheetId="12">#REF!</definedName>
    <definedName name="ITEM6.3.1.2.6" localSheetId="13">#REF!</definedName>
    <definedName name="ITEM6.3.1.2.6">#REF!</definedName>
    <definedName name="ITEM6.3.1.2.7" localSheetId="0">#REF!</definedName>
    <definedName name="ITEM6.3.1.2.7" localSheetId="1">#REF!</definedName>
    <definedName name="ITEM6.3.1.2.7" localSheetId="30">#REF!</definedName>
    <definedName name="ITEM6.3.1.2.7" localSheetId="14">#REF!</definedName>
    <definedName name="ITEM6.3.1.2.7" localSheetId="16">#REF!</definedName>
    <definedName name="ITEM6.3.1.2.7" localSheetId="7">#REF!</definedName>
    <definedName name="ITEM6.3.1.2.7" localSheetId="8">#REF!</definedName>
    <definedName name="ITEM6.3.1.2.7" localSheetId="9">#REF!</definedName>
    <definedName name="ITEM6.3.1.2.7" localSheetId="10">#REF!</definedName>
    <definedName name="ITEM6.3.1.2.7" localSheetId="19">#REF!</definedName>
    <definedName name="ITEM6.3.1.2.7" localSheetId="20">#REF!</definedName>
    <definedName name="ITEM6.3.1.2.7" localSheetId="6">#REF!</definedName>
    <definedName name="ITEM6.3.1.2.7" localSheetId="11">#REF!</definedName>
    <definedName name="ITEM6.3.1.2.7" localSheetId="12">#REF!</definedName>
    <definedName name="ITEM6.3.1.2.7" localSheetId="13">#REF!</definedName>
    <definedName name="ITEM6.3.1.2.7">#REF!</definedName>
    <definedName name="ITEM6.3.1.2.8" localSheetId="0">#REF!</definedName>
    <definedName name="ITEM6.3.1.2.8" localSheetId="1">#REF!</definedName>
    <definedName name="ITEM6.3.1.2.8" localSheetId="30">#REF!</definedName>
    <definedName name="ITEM6.3.1.2.8" localSheetId="14">#REF!</definedName>
    <definedName name="ITEM6.3.1.2.8" localSheetId="16">#REF!</definedName>
    <definedName name="ITEM6.3.1.2.8" localSheetId="7">#REF!</definedName>
    <definedName name="ITEM6.3.1.2.8" localSheetId="8">#REF!</definedName>
    <definedName name="ITEM6.3.1.2.8" localSheetId="9">#REF!</definedName>
    <definedName name="ITEM6.3.1.2.8" localSheetId="10">#REF!</definedName>
    <definedName name="ITEM6.3.1.2.8" localSheetId="19">#REF!</definedName>
    <definedName name="ITEM6.3.1.2.8" localSheetId="20">#REF!</definedName>
    <definedName name="ITEM6.3.1.2.8" localSheetId="6">#REF!</definedName>
    <definedName name="ITEM6.3.1.2.8" localSheetId="11">#REF!</definedName>
    <definedName name="ITEM6.3.1.2.8" localSheetId="12">#REF!</definedName>
    <definedName name="ITEM6.3.1.2.8" localSheetId="13">#REF!</definedName>
    <definedName name="ITEM6.3.1.2.8">#REF!</definedName>
    <definedName name="ITEM6.3.1.3.1" localSheetId="0">#REF!</definedName>
    <definedName name="ITEM6.3.1.3.1" localSheetId="1">#REF!</definedName>
    <definedName name="ITEM6.3.1.3.1" localSheetId="30">#REF!</definedName>
    <definedName name="ITEM6.3.1.3.1" localSheetId="14">#REF!</definedName>
    <definedName name="ITEM6.3.1.3.1" localSheetId="16">#REF!</definedName>
    <definedName name="ITEM6.3.1.3.1" localSheetId="7">#REF!</definedName>
    <definedName name="ITEM6.3.1.3.1" localSheetId="8">#REF!</definedName>
    <definedName name="ITEM6.3.1.3.1" localSheetId="9">#REF!</definedName>
    <definedName name="ITEM6.3.1.3.1" localSheetId="10">#REF!</definedName>
    <definedName name="ITEM6.3.1.3.1" localSheetId="19">#REF!</definedName>
    <definedName name="ITEM6.3.1.3.1" localSheetId="20">#REF!</definedName>
    <definedName name="ITEM6.3.1.3.1" localSheetId="6">#REF!</definedName>
    <definedName name="ITEM6.3.1.3.1" localSheetId="11">#REF!</definedName>
    <definedName name="ITEM6.3.1.3.1" localSheetId="12">#REF!</definedName>
    <definedName name="ITEM6.3.1.3.1" localSheetId="13">#REF!</definedName>
    <definedName name="ITEM6.3.1.3.1">#REF!</definedName>
    <definedName name="ITEM6.3.1.3.2" localSheetId="0">#REF!</definedName>
    <definedName name="ITEM6.3.1.3.2" localSheetId="1">#REF!</definedName>
    <definedName name="ITEM6.3.1.3.2" localSheetId="30">#REF!</definedName>
    <definedName name="ITEM6.3.1.3.2" localSheetId="14">#REF!</definedName>
    <definedName name="ITEM6.3.1.3.2" localSheetId="16">#REF!</definedName>
    <definedName name="ITEM6.3.1.3.2" localSheetId="7">#REF!</definedName>
    <definedName name="ITEM6.3.1.3.2" localSheetId="8">#REF!</definedName>
    <definedName name="ITEM6.3.1.3.2" localSheetId="9">#REF!</definedName>
    <definedName name="ITEM6.3.1.3.2" localSheetId="10">#REF!</definedName>
    <definedName name="ITEM6.3.1.3.2" localSheetId="19">#REF!</definedName>
    <definedName name="ITEM6.3.1.3.2" localSheetId="20">#REF!</definedName>
    <definedName name="ITEM6.3.1.3.2" localSheetId="6">#REF!</definedName>
    <definedName name="ITEM6.3.1.3.2" localSheetId="11">#REF!</definedName>
    <definedName name="ITEM6.3.1.3.2" localSheetId="12">#REF!</definedName>
    <definedName name="ITEM6.3.1.3.2" localSheetId="13">#REF!</definedName>
    <definedName name="ITEM6.3.1.3.2">#REF!</definedName>
    <definedName name="ITEM6.3.1.4.1" localSheetId="0">#REF!</definedName>
    <definedName name="ITEM6.3.1.4.1" localSheetId="1">#REF!</definedName>
    <definedName name="ITEM6.3.1.4.1" localSheetId="30">#REF!</definedName>
    <definedName name="ITEM6.3.1.4.1" localSheetId="14">#REF!</definedName>
    <definedName name="ITEM6.3.1.4.1" localSheetId="16">#REF!</definedName>
    <definedName name="ITEM6.3.1.4.1" localSheetId="7">#REF!</definedName>
    <definedName name="ITEM6.3.1.4.1" localSheetId="8">#REF!</definedName>
    <definedName name="ITEM6.3.1.4.1" localSheetId="9">#REF!</definedName>
    <definedName name="ITEM6.3.1.4.1" localSheetId="10">#REF!</definedName>
    <definedName name="ITEM6.3.1.4.1" localSheetId="19">#REF!</definedName>
    <definedName name="ITEM6.3.1.4.1" localSheetId="20">#REF!</definedName>
    <definedName name="ITEM6.3.1.4.1" localSheetId="6">#REF!</definedName>
    <definedName name="ITEM6.3.1.4.1" localSheetId="11">#REF!</definedName>
    <definedName name="ITEM6.3.1.4.1" localSheetId="12">#REF!</definedName>
    <definedName name="ITEM6.3.1.4.1" localSheetId="13">#REF!</definedName>
    <definedName name="ITEM6.3.1.4.1">#REF!</definedName>
    <definedName name="ITEM6.3.1.4.2" localSheetId="0">#REF!</definedName>
    <definedName name="ITEM6.3.1.4.2" localSheetId="1">#REF!</definedName>
    <definedName name="ITEM6.3.1.4.2" localSheetId="30">#REF!</definedName>
    <definedName name="ITEM6.3.1.4.2" localSheetId="14">#REF!</definedName>
    <definedName name="ITEM6.3.1.4.2" localSheetId="16">#REF!</definedName>
    <definedName name="ITEM6.3.1.4.2" localSheetId="7">#REF!</definedName>
    <definedName name="ITEM6.3.1.4.2" localSheetId="8">#REF!</definedName>
    <definedName name="ITEM6.3.1.4.2" localSheetId="9">#REF!</definedName>
    <definedName name="ITEM6.3.1.4.2" localSheetId="10">#REF!</definedName>
    <definedName name="ITEM6.3.1.4.2" localSheetId="19">#REF!</definedName>
    <definedName name="ITEM6.3.1.4.2" localSheetId="20">#REF!</definedName>
    <definedName name="ITEM6.3.1.4.2" localSheetId="6">#REF!</definedName>
    <definedName name="ITEM6.3.1.4.2" localSheetId="11">#REF!</definedName>
    <definedName name="ITEM6.3.1.4.2" localSheetId="12">#REF!</definedName>
    <definedName name="ITEM6.3.1.4.2" localSheetId="13">#REF!</definedName>
    <definedName name="ITEM6.3.1.4.2">#REF!</definedName>
    <definedName name="ITEM6.3.1.4.3" localSheetId="0">#REF!</definedName>
    <definedName name="ITEM6.3.1.4.3" localSheetId="1">#REF!</definedName>
    <definedName name="ITEM6.3.1.4.3" localSheetId="30">#REF!</definedName>
    <definedName name="ITEM6.3.1.4.3" localSheetId="14">#REF!</definedName>
    <definedName name="ITEM6.3.1.4.3" localSheetId="16">#REF!</definedName>
    <definedName name="ITEM6.3.1.4.3" localSheetId="7">#REF!</definedName>
    <definedName name="ITEM6.3.1.4.3" localSheetId="8">#REF!</definedName>
    <definedName name="ITEM6.3.1.4.3" localSheetId="9">#REF!</definedName>
    <definedName name="ITEM6.3.1.4.3" localSheetId="10">#REF!</definedName>
    <definedName name="ITEM6.3.1.4.3" localSheetId="19">#REF!</definedName>
    <definedName name="ITEM6.3.1.4.3" localSheetId="20">#REF!</definedName>
    <definedName name="ITEM6.3.1.4.3" localSheetId="6">#REF!</definedName>
    <definedName name="ITEM6.3.1.4.3" localSheetId="11">#REF!</definedName>
    <definedName name="ITEM6.3.1.4.3" localSheetId="12">#REF!</definedName>
    <definedName name="ITEM6.3.1.4.3" localSheetId="13">#REF!</definedName>
    <definedName name="ITEM6.3.1.4.3">#REF!</definedName>
    <definedName name="ITEM6.3.1.5" localSheetId="0">#REF!</definedName>
    <definedName name="ITEM6.3.1.5" localSheetId="1">#REF!</definedName>
    <definedName name="ITEM6.3.1.5" localSheetId="30">#REF!</definedName>
    <definedName name="ITEM6.3.1.5" localSheetId="14">#REF!</definedName>
    <definedName name="ITEM6.3.1.5" localSheetId="16">#REF!</definedName>
    <definedName name="ITEM6.3.1.5" localSheetId="7">#REF!</definedName>
    <definedName name="ITEM6.3.1.5" localSheetId="8">#REF!</definedName>
    <definedName name="ITEM6.3.1.5" localSheetId="9">#REF!</definedName>
    <definedName name="ITEM6.3.1.5" localSheetId="10">#REF!</definedName>
    <definedName name="ITEM6.3.1.5" localSheetId="19">#REF!</definedName>
    <definedName name="ITEM6.3.1.5" localSheetId="20">#REF!</definedName>
    <definedName name="ITEM6.3.1.5" localSheetId="6">#REF!</definedName>
    <definedName name="ITEM6.3.1.5" localSheetId="11">#REF!</definedName>
    <definedName name="ITEM6.3.1.5" localSheetId="12">#REF!</definedName>
    <definedName name="ITEM6.3.1.5" localSheetId="13">#REF!</definedName>
    <definedName name="ITEM6.3.1.5">#REF!</definedName>
    <definedName name="ITEM6.3.1.6" localSheetId="0">#REF!</definedName>
    <definedName name="ITEM6.3.1.6" localSheetId="1">#REF!</definedName>
    <definedName name="ITEM6.3.1.6" localSheetId="30">#REF!</definedName>
    <definedName name="ITEM6.3.1.6" localSheetId="14">#REF!</definedName>
    <definedName name="ITEM6.3.1.6" localSheetId="16">#REF!</definedName>
    <definedName name="ITEM6.3.1.6" localSheetId="7">#REF!</definedName>
    <definedName name="ITEM6.3.1.6" localSheetId="8">#REF!</definedName>
    <definedName name="ITEM6.3.1.6" localSheetId="9">#REF!</definedName>
    <definedName name="ITEM6.3.1.6" localSheetId="10">#REF!</definedName>
    <definedName name="ITEM6.3.1.6" localSheetId="19">#REF!</definedName>
    <definedName name="ITEM6.3.1.6" localSheetId="20">#REF!</definedName>
    <definedName name="ITEM6.3.1.6" localSheetId="6">#REF!</definedName>
    <definedName name="ITEM6.3.1.6" localSheetId="11">#REF!</definedName>
    <definedName name="ITEM6.3.1.6" localSheetId="12">#REF!</definedName>
    <definedName name="ITEM6.3.1.6" localSheetId="13">#REF!</definedName>
    <definedName name="ITEM6.3.1.6">#REF!</definedName>
    <definedName name="ITEM6.3.1.7" localSheetId="0">#REF!</definedName>
    <definedName name="ITEM6.3.1.7" localSheetId="1">#REF!</definedName>
    <definedName name="ITEM6.3.1.7" localSheetId="30">#REF!</definedName>
    <definedName name="ITEM6.3.1.7" localSheetId="14">#REF!</definedName>
    <definedName name="ITEM6.3.1.7" localSheetId="16">#REF!</definedName>
    <definedName name="ITEM6.3.1.7" localSheetId="7">#REF!</definedName>
    <definedName name="ITEM6.3.1.7" localSheetId="8">#REF!</definedName>
    <definedName name="ITEM6.3.1.7" localSheetId="9">#REF!</definedName>
    <definedName name="ITEM6.3.1.7" localSheetId="10">#REF!</definedName>
    <definedName name="ITEM6.3.1.7" localSheetId="19">#REF!</definedName>
    <definedName name="ITEM6.3.1.7" localSheetId="20">#REF!</definedName>
    <definedName name="ITEM6.3.1.7" localSheetId="6">#REF!</definedName>
    <definedName name="ITEM6.3.1.7" localSheetId="11">#REF!</definedName>
    <definedName name="ITEM6.3.1.7" localSheetId="12">#REF!</definedName>
    <definedName name="ITEM6.3.1.7" localSheetId="13">#REF!</definedName>
    <definedName name="ITEM6.3.1.7">#REF!</definedName>
    <definedName name="ITEM6.3.10" localSheetId="0">#REF!</definedName>
    <definedName name="ITEM6.3.10" localSheetId="1">#REF!</definedName>
    <definedName name="ITEM6.3.10" localSheetId="30">#REF!</definedName>
    <definedName name="ITEM6.3.10" localSheetId="14">#REF!</definedName>
    <definedName name="ITEM6.3.10" localSheetId="16">#REF!</definedName>
    <definedName name="ITEM6.3.10" localSheetId="7">#REF!</definedName>
    <definedName name="ITEM6.3.10" localSheetId="8">#REF!</definedName>
    <definedName name="ITEM6.3.10" localSheetId="9">#REF!</definedName>
    <definedName name="ITEM6.3.10" localSheetId="10">#REF!</definedName>
    <definedName name="ITEM6.3.10" localSheetId="19">#REF!</definedName>
    <definedName name="ITEM6.3.10" localSheetId="20">#REF!</definedName>
    <definedName name="ITEM6.3.10" localSheetId="6">#REF!</definedName>
    <definedName name="ITEM6.3.10" localSheetId="11">#REF!</definedName>
    <definedName name="ITEM6.3.10" localSheetId="12">#REF!</definedName>
    <definedName name="ITEM6.3.10" localSheetId="13">#REF!</definedName>
    <definedName name="ITEM6.3.10">#REF!</definedName>
    <definedName name="ITEM6.3.11" localSheetId="0">#REF!</definedName>
    <definedName name="ITEM6.3.11" localSheetId="1">#REF!</definedName>
    <definedName name="ITEM6.3.11" localSheetId="30">#REF!</definedName>
    <definedName name="ITEM6.3.11" localSheetId="14">#REF!</definedName>
    <definedName name="ITEM6.3.11" localSheetId="16">#REF!</definedName>
    <definedName name="ITEM6.3.11" localSheetId="7">#REF!</definedName>
    <definedName name="ITEM6.3.11" localSheetId="8">#REF!</definedName>
    <definedName name="ITEM6.3.11" localSheetId="9">#REF!</definedName>
    <definedName name="ITEM6.3.11" localSheetId="10">#REF!</definedName>
    <definedName name="ITEM6.3.11" localSheetId="19">#REF!</definedName>
    <definedName name="ITEM6.3.11" localSheetId="20">#REF!</definedName>
    <definedName name="ITEM6.3.11" localSheetId="6">#REF!</definedName>
    <definedName name="ITEM6.3.11" localSheetId="11">#REF!</definedName>
    <definedName name="ITEM6.3.11" localSheetId="12">#REF!</definedName>
    <definedName name="ITEM6.3.11" localSheetId="13">#REF!</definedName>
    <definedName name="ITEM6.3.11">#REF!</definedName>
    <definedName name="ITEM6.3.12.1" localSheetId="0">#REF!</definedName>
    <definedName name="ITEM6.3.12.1" localSheetId="1">#REF!</definedName>
    <definedName name="ITEM6.3.12.1" localSheetId="30">#REF!</definedName>
    <definedName name="ITEM6.3.12.1" localSheetId="14">#REF!</definedName>
    <definedName name="ITEM6.3.12.1" localSheetId="16">#REF!</definedName>
    <definedName name="ITEM6.3.12.1" localSheetId="7">#REF!</definedName>
    <definedName name="ITEM6.3.12.1" localSheetId="8">#REF!</definedName>
    <definedName name="ITEM6.3.12.1" localSheetId="9">#REF!</definedName>
    <definedName name="ITEM6.3.12.1" localSheetId="10">#REF!</definedName>
    <definedName name="ITEM6.3.12.1" localSheetId="19">#REF!</definedName>
    <definedName name="ITEM6.3.12.1" localSheetId="20">#REF!</definedName>
    <definedName name="ITEM6.3.12.1" localSheetId="6">#REF!</definedName>
    <definedName name="ITEM6.3.12.1" localSheetId="11">#REF!</definedName>
    <definedName name="ITEM6.3.12.1" localSheetId="12">#REF!</definedName>
    <definedName name="ITEM6.3.12.1" localSheetId="13">#REF!</definedName>
    <definedName name="ITEM6.3.12.1">#REF!</definedName>
    <definedName name="ITEM6.3.12.2" localSheetId="0">#REF!</definedName>
    <definedName name="ITEM6.3.12.2" localSheetId="1">#REF!</definedName>
    <definedName name="ITEM6.3.12.2" localSheetId="30">#REF!</definedName>
    <definedName name="ITEM6.3.12.2" localSheetId="14">#REF!</definedName>
    <definedName name="ITEM6.3.12.2" localSheetId="16">#REF!</definedName>
    <definedName name="ITEM6.3.12.2" localSheetId="7">#REF!</definedName>
    <definedName name="ITEM6.3.12.2" localSheetId="8">#REF!</definedName>
    <definedName name="ITEM6.3.12.2" localSheetId="9">#REF!</definedName>
    <definedName name="ITEM6.3.12.2" localSheetId="10">#REF!</definedName>
    <definedName name="ITEM6.3.12.2" localSheetId="19">#REF!</definedName>
    <definedName name="ITEM6.3.12.2" localSheetId="20">#REF!</definedName>
    <definedName name="ITEM6.3.12.2" localSheetId="6">#REF!</definedName>
    <definedName name="ITEM6.3.12.2" localSheetId="11">#REF!</definedName>
    <definedName name="ITEM6.3.12.2" localSheetId="12">#REF!</definedName>
    <definedName name="ITEM6.3.12.2" localSheetId="13">#REF!</definedName>
    <definedName name="ITEM6.3.12.2">#REF!</definedName>
    <definedName name="ITEM6.3.12.3" localSheetId="0">#REF!</definedName>
    <definedName name="ITEM6.3.12.3" localSheetId="1">#REF!</definedName>
    <definedName name="ITEM6.3.12.3" localSheetId="30">#REF!</definedName>
    <definedName name="ITEM6.3.12.3" localSheetId="14">#REF!</definedName>
    <definedName name="ITEM6.3.12.3" localSheetId="16">#REF!</definedName>
    <definedName name="ITEM6.3.12.3" localSheetId="7">#REF!</definedName>
    <definedName name="ITEM6.3.12.3" localSheetId="8">#REF!</definedName>
    <definedName name="ITEM6.3.12.3" localSheetId="9">#REF!</definedName>
    <definedName name="ITEM6.3.12.3" localSheetId="10">#REF!</definedName>
    <definedName name="ITEM6.3.12.3" localSheetId="19">#REF!</definedName>
    <definedName name="ITEM6.3.12.3" localSheetId="20">#REF!</definedName>
    <definedName name="ITEM6.3.12.3" localSheetId="6">#REF!</definedName>
    <definedName name="ITEM6.3.12.3" localSheetId="11">#REF!</definedName>
    <definedName name="ITEM6.3.12.3" localSheetId="12">#REF!</definedName>
    <definedName name="ITEM6.3.12.3" localSheetId="13">#REF!</definedName>
    <definedName name="ITEM6.3.12.3">#REF!</definedName>
    <definedName name="ITEM6.3.13.1" localSheetId="0">#REF!</definedName>
    <definedName name="ITEM6.3.13.1" localSheetId="1">#REF!</definedName>
    <definedName name="ITEM6.3.13.1" localSheetId="30">#REF!</definedName>
    <definedName name="ITEM6.3.13.1" localSheetId="14">#REF!</definedName>
    <definedName name="ITEM6.3.13.1" localSheetId="16">#REF!</definedName>
    <definedName name="ITEM6.3.13.1" localSheetId="7">#REF!</definedName>
    <definedName name="ITEM6.3.13.1" localSheetId="8">#REF!</definedName>
    <definedName name="ITEM6.3.13.1" localSheetId="9">#REF!</definedName>
    <definedName name="ITEM6.3.13.1" localSheetId="10">#REF!</definedName>
    <definedName name="ITEM6.3.13.1" localSheetId="19">#REF!</definedName>
    <definedName name="ITEM6.3.13.1" localSheetId="20">#REF!</definedName>
    <definedName name="ITEM6.3.13.1" localSheetId="6">#REF!</definedName>
    <definedName name="ITEM6.3.13.1" localSheetId="11">#REF!</definedName>
    <definedName name="ITEM6.3.13.1" localSheetId="12">#REF!</definedName>
    <definedName name="ITEM6.3.13.1" localSheetId="13">#REF!</definedName>
    <definedName name="ITEM6.3.13.1">#REF!</definedName>
    <definedName name="ITEM6.3.14.1" localSheetId="0">#REF!</definedName>
    <definedName name="ITEM6.3.14.1" localSheetId="1">#REF!</definedName>
    <definedName name="ITEM6.3.14.1" localSheetId="30">#REF!</definedName>
    <definedName name="ITEM6.3.14.1" localSheetId="14">#REF!</definedName>
    <definedName name="ITEM6.3.14.1" localSheetId="16">#REF!</definedName>
    <definedName name="ITEM6.3.14.1" localSheetId="7">#REF!</definedName>
    <definedName name="ITEM6.3.14.1" localSheetId="8">#REF!</definedName>
    <definedName name="ITEM6.3.14.1" localSheetId="9">#REF!</definedName>
    <definedName name="ITEM6.3.14.1" localSheetId="10">#REF!</definedName>
    <definedName name="ITEM6.3.14.1" localSheetId="19">#REF!</definedName>
    <definedName name="ITEM6.3.14.1" localSheetId="20">#REF!</definedName>
    <definedName name="ITEM6.3.14.1" localSheetId="6">#REF!</definedName>
    <definedName name="ITEM6.3.14.1" localSheetId="11">#REF!</definedName>
    <definedName name="ITEM6.3.14.1" localSheetId="12">#REF!</definedName>
    <definedName name="ITEM6.3.14.1" localSheetId="13">#REF!</definedName>
    <definedName name="ITEM6.3.14.1">#REF!</definedName>
    <definedName name="ITEM6.3.14.2" localSheetId="0">#REF!</definedName>
    <definedName name="ITEM6.3.14.2" localSheetId="1">#REF!</definedName>
    <definedName name="ITEM6.3.14.2" localSheetId="30">#REF!</definedName>
    <definedName name="ITEM6.3.14.2" localSheetId="14">#REF!</definedName>
    <definedName name="ITEM6.3.14.2" localSheetId="16">#REF!</definedName>
    <definedName name="ITEM6.3.14.2" localSheetId="7">#REF!</definedName>
    <definedName name="ITEM6.3.14.2" localSheetId="8">#REF!</definedName>
    <definedName name="ITEM6.3.14.2" localSheetId="9">#REF!</definedName>
    <definedName name="ITEM6.3.14.2" localSheetId="10">#REF!</definedName>
    <definedName name="ITEM6.3.14.2" localSheetId="19">#REF!</definedName>
    <definedName name="ITEM6.3.14.2" localSheetId="20">#REF!</definedName>
    <definedName name="ITEM6.3.14.2" localSheetId="6">#REF!</definedName>
    <definedName name="ITEM6.3.14.2" localSheetId="11">#REF!</definedName>
    <definedName name="ITEM6.3.14.2" localSheetId="12">#REF!</definedName>
    <definedName name="ITEM6.3.14.2" localSheetId="13">#REF!</definedName>
    <definedName name="ITEM6.3.14.2">#REF!</definedName>
    <definedName name="ITEM6.3.14.3" localSheetId="0">#REF!</definedName>
    <definedName name="ITEM6.3.14.3" localSheetId="1">#REF!</definedName>
    <definedName name="ITEM6.3.14.3" localSheetId="30">#REF!</definedName>
    <definedName name="ITEM6.3.14.3" localSheetId="14">#REF!</definedName>
    <definedName name="ITEM6.3.14.3" localSheetId="16">#REF!</definedName>
    <definedName name="ITEM6.3.14.3" localSheetId="7">#REF!</definedName>
    <definedName name="ITEM6.3.14.3" localSheetId="8">#REF!</definedName>
    <definedName name="ITEM6.3.14.3" localSheetId="9">#REF!</definedName>
    <definedName name="ITEM6.3.14.3" localSheetId="10">#REF!</definedName>
    <definedName name="ITEM6.3.14.3" localSheetId="19">#REF!</definedName>
    <definedName name="ITEM6.3.14.3" localSheetId="20">#REF!</definedName>
    <definedName name="ITEM6.3.14.3" localSheetId="6">#REF!</definedName>
    <definedName name="ITEM6.3.14.3" localSheetId="11">#REF!</definedName>
    <definedName name="ITEM6.3.14.3" localSheetId="12">#REF!</definedName>
    <definedName name="ITEM6.3.14.3" localSheetId="13">#REF!</definedName>
    <definedName name="ITEM6.3.14.3">#REF!</definedName>
    <definedName name="ITEM6.3.2" localSheetId="0">#REF!</definedName>
    <definedName name="ITEM6.3.2" localSheetId="1">#REF!</definedName>
    <definedName name="ITEM6.3.2" localSheetId="30">#REF!</definedName>
    <definedName name="ITEM6.3.2" localSheetId="14">#REF!</definedName>
    <definedName name="ITEM6.3.2" localSheetId="16">#REF!</definedName>
    <definedName name="ITEM6.3.2" localSheetId="7">#REF!</definedName>
    <definedName name="ITEM6.3.2" localSheetId="8">#REF!</definedName>
    <definedName name="ITEM6.3.2" localSheetId="9">#REF!</definedName>
    <definedName name="ITEM6.3.2" localSheetId="10">#REF!</definedName>
    <definedName name="ITEM6.3.2" localSheetId="19">#REF!</definedName>
    <definedName name="ITEM6.3.2" localSheetId="20">#REF!</definedName>
    <definedName name="ITEM6.3.2" localSheetId="6">#REF!</definedName>
    <definedName name="ITEM6.3.2" localSheetId="11">#REF!</definedName>
    <definedName name="ITEM6.3.2" localSheetId="12">#REF!</definedName>
    <definedName name="ITEM6.3.2" localSheetId="13">#REF!</definedName>
    <definedName name="ITEM6.3.2">#REF!</definedName>
    <definedName name="ITEM6.3.3.1.1" localSheetId="0">#REF!</definedName>
    <definedName name="ITEM6.3.3.1.1" localSheetId="1">#REF!</definedName>
    <definedName name="ITEM6.3.3.1.1" localSheetId="30">#REF!</definedName>
    <definedName name="ITEM6.3.3.1.1" localSheetId="14">#REF!</definedName>
    <definedName name="ITEM6.3.3.1.1" localSheetId="16">#REF!</definedName>
    <definedName name="ITEM6.3.3.1.1" localSheetId="7">#REF!</definedName>
    <definedName name="ITEM6.3.3.1.1" localSheetId="8">#REF!</definedName>
    <definedName name="ITEM6.3.3.1.1" localSheetId="9">#REF!</definedName>
    <definedName name="ITEM6.3.3.1.1" localSheetId="10">#REF!</definedName>
    <definedName name="ITEM6.3.3.1.1" localSheetId="19">#REF!</definedName>
    <definedName name="ITEM6.3.3.1.1" localSheetId="20">#REF!</definedName>
    <definedName name="ITEM6.3.3.1.1" localSheetId="6">#REF!</definedName>
    <definedName name="ITEM6.3.3.1.1" localSheetId="11">#REF!</definedName>
    <definedName name="ITEM6.3.3.1.1" localSheetId="12">#REF!</definedName>
    <definedName name="ITEM6.3.3.1.1" localSheetId="13">#REF!</definedName>
    <definedName name="ITEM6.3.3.1.1">#REF!</definedName>
    <definedName name="ITEM6.3.3.1.2" localSheetId="0">#REF!</definedName>
    <definedName name="ITEM6.3.3.1.2" localSheetId="1">#REF!</definedName>
    <definedName name="ITEM6.3.3.1.2" localSheetId="30">#REF!</definedName>
    <definedName name="ITEM6.3.3.1.2" localSheetId="14">#REF!</definedName>
    <definedName name="ITEM6.3.3.1.2" localSheetId="16">#REF!</definedName>
    <definedName name="ITEM6.3.3.1.2" localSheetId="7">#REF!</definedName>
    <definedName name="ITEM6.3.3.1.2" localSheetId="8">#REF!</definedName>
    <definedName name="ITEM6.3.3.1.2" localSheetId="9">#REF!</definedName>
    <definedName name="ITEM6.3.3.1.2" localSheetId="10">#REF!</definedName>
    <definedName name="ITEM6.3.3.1.2" localSheetId="19">#REF!</definedName>
    <definedName name="ITEM6.3.3.1.2" localSheetId="20">#REF!</definedName>
    <definedName name="ITEM6.3.3.1.2" localSheetId="6">#REF!</definedName>
    <definedName name="ITEM6.3.3.1.2" localSheetId="11">#REF!</definedName>
    <definedName name="ITEM6.3.3.1.2" localSheetId="12">#REF!</definedName>
    <definedName name="ITEM6.3.3.1.2" localSheetId="13">#REF!</definedName>
    <definedName name="ITEM6.3.3.1.2">#REF!</definedName>
    <definedName name="ITEM6.3.3.1.3" localSheetId="0">#REF!</definedName>
    <definedName name="ITEM6.3.3.1.3" localSheetId="1">#REF!</definedName>
    <definedName name="ITEM6.3.3.1.3" localSheetId="30">#REF!</definedName>
    <definedName name="ITEM6.3.3.1.3" localSheetId="14">#REF!</definedName>
    <definedName name="ITEM6.3.3.1.3" localSheetId="16">#REF!</definedName>
    <definedName name="ITEM6.3.3.1.3" localSheetId="7">#REF!</definedName>
    <definedName name="ITEM6.3.3.1.3" localSheetId="8">#REF!</definedName>
    <definedName name="ITEM6.3.3.1.3" localSheetId="9">#REF!</definedName>
    <definedName name="ITEM6.3.3.1.3" localSheetId="10">#REF!</definedName>
    <definedName name="ITEM6.3.3.1.3" localSheetId="19">#REF!</definedName>
    <definedName name="ITEM6.3.3.1.3" localSheetId="20">#REF!</definedName>
    <definedName name="ITEM6.3.3.1.3" localSheetId="6">#REF!</definedName>
    <definedName name="ITEM6.3.3.1.3" localSheetId="11">#REF!</definedName>
    <definedName name="ITEM6.3.3.1.3" localSheetId="12">#REF!</definedName>
    <definedName name="ITEM6.3.3.1.3" localSheetId="13">#REF!</definedName>
    <definedName name="ITEM6.3.3.1.3">#REF!</definedName>
    <definedName name="ITEM6.3.3.1.4" localSheetId="0">#REF!</definedName>
    <definedName name="ITEM6.3.3.1.4" localSheetId="1">#REF!</definedName>
    <definedName name="ITEM6.3.3.1.4" localSheetId="30">#REF!</definedName>
    <definedName name="ITEM6.3.3.1.4" localSheetId="14">#REF!</definedName>
    <definedName name="ITEM6.3.3.1.4" localSheetId="16">#REF!</definedName>
    <definedName name="ITEM6.3.3.1.4" localSheetId="7">#REF!</definedName>
    <definedName name="ITEM6.3.3.1.4" localSheetId="8">#REF!</definedName>
    <definedName name="ITEM6.3.3.1.4" localSheetId="9">#REF!</definedName>
    <definedName name="ITEM6.3.3.1.4" localSheetId="10">#REF!</definedName>
    <definedName name="ITEM6.3.3.1.4" localSheetId="19">#REF!</definedName>
    <definedName name="ITEM6.3.3.1.4" localSheetId="20">#REF!</definedName>
    <definedName name="ITEM6.3.3.1.4" localSheetId="6">#REF!</definedName>
    <definedName name="ITEM6.3.3.1.4" localSheetId="11">#REF!</definedName>
    <definedName name="ITEM6.3.3.1.4" localSheetId="12">#REF!</definedName>
    <definedName name="ITEM6.3.3.1.4" localSheetId="13">#REF!</definedName>
    <definedName name="ITEM6.3.3.1.4">#REF!</definedName>
    <definedName name="ITEM6.3.3.1.5" localSheetId="0">#REF!</definedName>
    <definedName name="ITEM6.3.3.1.5" localSheetId="1">#REF!</definedName>
    <definedName name="ITEM6.3.3.1.5" localSheetId="30">#REF!</definedName>
    <definedName name="ITEM6.3.3.1.5" localSheetId="14">#REF!</definedName>
    <definedName name="ITEM6.3.3.1.5" localSheetId="16">#REF!</definedName>
    <definedName name="ITEM6.3.3.1.5" localSheetId="7">#REF!</definedName>
    <definedName name="ITEM6.3.3.1.5" localSheetId="8">#REF!</definedName>
    <definedName name="ITEM6.3.3.1.5" localSheetId="9">#REF!</definedName>
    <definedName name="ITEM6.3.3.1.5" localSheetId="10">#REF!</definedName>
    <definedName name="ITEM6.3.3.1.5" localSheetId="19">#REF!</definedName>
    <definedName name="ITEM6.3.3.1.5" localSheetId="20">#REF!</definedName>
    <definedName name="ITEM6.3.3.1.5" localSheetId="6">#REF!</definedName>
    <definedName name="ITEM6.3.3.1.5" localSheetId="11">#REF!</definedName>
    <definedName name="ITEM6.3.3.1.5" localSheetId="12">#REF!</definedName>
    <definedName name="ITEM6.3.3.1.5" localSheetId="13">#REF!</definedName>
    <definedName name="ITEM6.3.3.1.5">#REF!</definedName>
    <definedName name="ITEM6.3.3.2.1" localSheetId="0">#REF!</definedName>
    <definedName name="ITEM6.3.3.2.1" localSheetId="1">#REF!</definedName>
    <definedName name="ITEM6.3.3.2.1" localSheetId="30">#REF!</definedName>
    <definedName name="ITEM6.3.3.2.1" localSheetId="14">#REF!</definedName>
    <definedName name="ITEM6.3.3.2.1" localSheetId="16">#REF!</definedName>
    <definedName name="ITEM6.3.3.2.1" localSheetId="7">#REF!</definedName>
    <definedName name="ITEM6.3.3.2.1" localSheetId="8">#REF!</definedName>
    <definedName name="ITEM6.3.3.2.1" localSheetId="9">#REF!</definedName>
    <definedName name="ITEM6.3.3.2.1" localSheetId="10">#REF!</definedName>
    <definedName name="ITEM6.3.3.2.1" localSheetId="19">#REF!</definedName>
    <definedName name="ITEM6.3.3.2.1" localSheetId="20">#REF!</definedName>
    <definedName name="ITEM6.3.3.2.1" localSheetId="6">#REF!</definedName>
    <definedName name="ITEM6.3.3.2.1" localSheetId="11">#REF!</definedName>
    <definedName name="ITEM6.3.3.2.1" localSheetId="12">#REF!</definedName>
    <definedName name="ITEM6.3.3.2.1" localSheetId="13">#REF!</definedName>
    <definedName name="ITEM6.3.3.2.1">#REF!</definedName>
    <definedName name="ITEM6.3.3.2.2" localSheetId="0">#REF!</definedName>
    <definedName name="ITEM6.3.3.2.2" localSheetId="1">#REF!</definedName>
    <definedName name="ITEM6.3.3.2.2" localSheetId="30">#REF!</definedName>
    <definedName name="ITEM6.3.3.2.2" localSheetId="14">#REF!</definedName>
    <definedName name="ITEM6.3.3.2.2" localSheetId="16">#REF!</definedName>
    <definedName name="ITEM6.3.3.2.2" localSheetId="7">#REF!</definedName>
    <definedName name="ITEM6.3.3.2.2" localSheetId="8">#REF!</definedName>
    <definedName name="ITEM6.3.3.2.2" localSheetId="9">#REF!</definedName>
    <definedName name="ITEM6.3.3.2.2" localSheetId="10">#REF!</definedName>
    <definedName name="ITEM6.3.3.2.2" localSheetId="19">#REF!</definedName>
    <definedName name="ITEM6.3.3.2.2" localSheetId="20">#REF!</definedName>
    <definedName name="ITEM6.3.3.2.2" localSheetId="6">#REF!</definedName>
    <definedName name="ITEM6.3.3.2.2" localSheetId="11">#REF!</definedName>
    <definedName name="ITEM6.3.3.2.2" localSheetId="12">#REF!</definedName>
    <definedName name="ITEM6.3.3.2.2" localSheetId="13">#REF!</definedName>
    <definedName name="ITEM6.3.3.2.2">#REF!</definedName>
    <definedName name="ITEM6.3.3.2.3" localSheetId="0">#REF!</definedName>
    <definedName name="ITEM6.3.3.2.3" localSheetId="1">#REF!</definedName>
    <definedName name="ITEM6.3.3.2.3" localSheetId="30">#REF!</definedName>
    <definedName name="ITEM6.3.3.2.3" localSheetId="14">#REF!</definedName>
    <definedName name="ITEM6.3.3.2.3" localSheetId="16">#REF!</definedName>
    <definedName name="ITEM6.3.3.2.3" localSheetId="7">#REF!</definedName>
    <definedName name="ITEM6.3.3.2.3" localSheetId="8">#REF!</definedName>
    <definedName name="ITEM6.3.3.2.3" localSheetId="9">#REF!</definedName>
    <definedName name="ITEM6.3.3.2.3" localSheetId="10">#REF!</definedName>
    <definedName name="ITEM6.3.3.2.3" localSheetId="19">#REF!</definedName>
    <definedName name="ITEM6.3.3.2.3" localSheetId="20">#REF!</definedName>
    <definedName name="ITEM6.3.3.2.3" localSheetId="6">#REF!</definedName>
    <definedName name="ITEM6.3.3.2.3" localSheetId="11">#REF!</definedName>
    <definedName name="ITEM6.3.3.2.3" localSheetId="12">#REF!</definedName>
    <definedName name="ITEM6.3.3.2.3" localSheetId="13">#REF!</definedName>
    <definedName name="ITEM6.3.3.2.3">#REF!</definedName>
    <definedName name="ITEM6.3.3.2.4" localSheetId="0">#REF!</definedName>
    <definedName name="ITEM6.3.3.2.4" localSheetId="1">#REF!</definedName>
    <definedName name="ITEM6.3.3.2.4" localSheetId="30">#REF!</definedName>
    <definedName name="ITEM6.3.3.2.4" localSheetId="14">#REF!</definedName>
    <definedName name="ITEM6.3.3.2.4" localSheetId="16">#REF!</definedName>
    <definedName name="ITEM6.3.3.2.4" localSheetId="7">#REF!</definedName>
    <definedName name="ITEM6.3.3.2.4" localSheetId="8">#REF!</definedName>
    <definedName name="ITEM6.3.3.2.4" localSheetId="9">#REF!</definedName>
    <definedName name="ITEM6.3.3.2.4" localSheetId="10">#REF!</definedName>
    <definedName name="ITEM6.3.3.2.4" localSheetId="19">#REF!</definedName>
    <definedName name="ITEM6.3.3.2.4" localSheetId="20">#REF!</definedName>
    <definedName name="ITEM6.3.3.2.4" localSheetId="6">#REF!</definedName>
    <definedName name="ITEM6.3.3.2.4" localSheetId="11">#REF!</definedName>
    <definedName name="ITEM6.3.3.2.4" localSheetId="12">#REF!</definedName>
    <definedName name="ITEM6.3.3.2.4" localSheetId="13">#REF!</definedName>
    <definedName name="ITEM6.3.3.2.4">#REF!</definedName>
    <definedName name="ITEM6.3.3.2.5" localSheetId="0">#REF!</definedName>
    <definedName name="ITEM6.3.3.2.5" localSheetId="1">#REF!</definedName>
    <definedName name="ITEM6.3.3.2.5" localSheetId="30">#REF!</definedName>
    <definedName name="ITEM6.3.3.2.5" localSheetId="14">#REF!</definedName>
    <definedName name="ITEM6.3.3.2.5" localSheetId="16">#REF!</definedName>
    <definedName name="ITEM6.3.3.2.5" localSheetId="7">#REF!</definedName>
    <definedName name="ITEM6.3.3.2.5" localSheetId="8">#REF!</definedName>
    <definedName name="ITEM6.3.3.2.5" localSheetId="9">#REF!</definedName>
    <definedName name="ITEM6.3.3.2.5" localSheetId="10">#REF!</definedName>
    <definedName name="ITEM6.3.3.2.5" localSheetId="19">#REF!</definedName>
    <definedName name="ITEM6.3.3.2.5" localSheetId="20">#REF!</definedName>
    <definedName name="ITEM6.3.3.2.5" localSheetId="6">#REF!</definedName>
    <definedName name="ITEM6.3.3.2.5" localSheetId="11">#REF!</definedName>
    <definedName name="ITEM6.3.3.2.5" localSheetId="12">#REF!</definedName>
    <definedName name="ITEM6.3.3.2.5" localSheetId="13">#REF!</definedName>
    <definedName name="ITEM6.3.3.2.5">#REF!</definedName>
    <definedName name="ITEM6.3.4" localSheetId="0">#REF!</definedName>
    <definedName name="ITEM6.3.4" localSheetId="1">#REF!</definedName>
    <definedName name="ITEM6.3.4" localSheetId="30">#REF!</definedName>
    <definedName name="ITEM6.3.4" localSheetId="14">#REF!</definedName>
    <definedName name="ITEM6.3.4" localSheetId="16">#REF!</definedName>
    <definedName name="ITEM6.3.4" localSheetId="7">#REF!</definedName>
    <definedName name="ITEM6.3.4" localSheetId="8">#REF!</definedName>
    <definedName name="ITEM6.3.4" localSheetId="9">#REF!</definedName>
    <definedName name="ITEM6.3.4" localSheetId="10">#REF!</definedName>
    <definedName name="ITEM6.3.4" localSheetId="19">#REF!</definedName>
    <definedName name="ITEM6.3.4" localSheetId="20">#REF!</definedName>
    <definedName name="ITEM6.3.4" localSheetId="6">#REF!</definedName>
    <definedName name="ITEM6.3.4" localSheetId="11">#REF!</definedName>
    <definedName name="ITEM6.3.4" localSheetId="12">#REF!</definedName>
    <definedName name="ITEM6.3.4" localSheetId="13">#REF!</definedName>
    <definedName name="ITEM6.3.4">#REF!</definedName>
    <definedName name="ITEM6.3.6.1" localSheetId="0">#REF!</definedName>
    <definedName name="ITEM6.3.6.1" localSheetId="1">#REF!</definedName>
    <definedName name="ITEM6.3.6.1" localSheetId="30">#REF!</definedName>
    <definedName name="ITEM6.3.6.1" localSheetId="14">#REF!</definedName>
    <definedName name="ITEM6.3.6.1" localSheetId="16">#REF!</definedName>
    <definedName name="ITEM6.3.6.1" localSheetId="7">#REF!</definedName>
    <definedName name="ITEM6.3.6.1" localSheetId="8">#REF!</definedName>
    <definedName name="ITEM6.3.6.1" localSheetId="9">#REF!</definedName>
    <definedName name="ITEM6.3.6.1" localSheetId="10">#REF!</definedName>
    <definedName name="ITEM6.3.6.1" localSheetId="19">#REF!</definedName>
    <definedName name="ITEM6.3.6.1" localSheetId="20">#REF!</definedName>
    <definedName name="ITEM6.3.6.1" localSheetId="6">#REF!</definedName>
    <definedName name="ITEM6.3.6.1" localSheetId="11">#REF!</definedName>
    <definedName name="ITEM6.3.6.1" localSheetId="12">#REF!</definedName>
    <definedName name="ITEM6.3.6.1" localSheetId="13">#REF!</definedName>
    <definedName name="ITEM6.3.6.1">#REF!</definedName>
    <definedName name="ITEM6.3.6.2" localSheetId="0">#REF!</definedName>
    <definedName name="ITEM6.3.6.2" localSheetId="1">#REF!</definedName>
    <definedName name="ITEM6.3.6.2" localSheetId="30">#REF!</definedName>
    <definedName name="ITEM6.3.6.2" localSheetId="14">#REF!</definedName>
    <definedName name="ITEM6.3.6.2" localSheetId="16">#REF!</definedName>
    <definedName name="ITEM6.3.6.2" localSheetId="7">#REF!</definedName>
    <definedName name="ITEM6.3.6.2" localSheetId="8">#REF!</definedName>
    <definedName name="ITEM6.3.6.2" localSheetId="9">#REF!</definedName>
    <definedName name="ITEM6.3.6.2" localSheetId="10">#REF!</definedName>
    <definedName name="ITEM6.3.6.2" localSheetId="19">#REF!</definedName>
    <definedName name="ITEM6.3.6.2" localSheetId="20">#REF!</definedName>
    <definedName name="ITEM6.3.6.2" localSheetId="6">#REF!</definedName>
    <definedName name="ITEM6.3.6.2" localSheetId="11">#REF!</definedName>
    <definedName name="ITEM6.3.6.2" localSheetId="12">#REF!</definedName>
    <definedName name="ITEM6.3.6.2" localSheetId="13">#REF!</definedName>
    <definedName name="ITEM6.3.6.2">#REF!</definedName>
    <definedName name="ITEM6.3.6.3" localSheetId="0">#REF!</definedName>
    <definedName name="ITEM6.3.6.3" localSheetId="1">#REF!</definedName>
    <definedName name="ITEM6.3.6.3" localSheetId="30">#REF!</definedName>
    <definedName name="ITEM6.3.6.3" localSheetId="14">#REF!</definedName>
    <definedName name="ITEM6.3.6.3" localSheetId="16">#REF!</definedName>
    <definedName name="ITEM6.3.6.3" localSheetId="7">#REF!</definedName>
    <definedName name="ITEM6.3.6.3" localSheetId="8">#REF!</definedName>
    <definedName name="ITEM6.3.6.3" localSheetId="9">#REF!</definedName>
    <definedName name="ITEM6.3.6.3" localSheetId="10">#REF!</definedName>
    <definedName name="ITEM6.3.6.3" localSheetId="19">#REF!</definedName>
    <definedName name="ITEM6.3.6.3" localSheetId="20">#REF!</definedName>
    <definedName name="ITEM6.3.6.3" localSheetId="6">#REF!</definedName>
    <definedName name="ITEM6.3.6.3" localSheetId="11">#REF!</definedName>
    <definedName name="ITEM6.3.6.3" localSheetId="12">#REF!</definedName>
    <definedName name="ITEM6.3.6.3" localSheetId="13">#REF!</definedName>
    <definedName name="ITEM6.3.6.3">#REF!</definedName>
    <definedName name="ITEM6.3.6.4" localSheetId="0">#REF!</definedName>
    <definedName name="ITEM6.3.6.4" localSheetId="1">#REF!</definedName>
    <definedName name="ITEM6.3.6.4" localSheetId="30">#REF!</definedName>
    <definedName name="ITEM6.3.6.4" localSheetId="14">#REF!</definedName>
    <definedName name="ITEM6.3.6.4" localSheetId="16">#REF!</definedName>
    <definedName name="ITEM6.3.6.4" localSheetId="7">#REF!</definedName>
    <definedName name="ITEM6.3.6.4" localSheetId="8">#REF!</definedName>
    <definedName name="ITEM6.3.6.4" localSheetId="9">#REF!</definedName>
    <definedName name="ITEM6.3.6.4" localSheetId="10">#REF!</definedName>
    <definedName name="ITEM6.3.6.4" localSheetId="19">#REF!</definedName>
    <definedName name="ITEM6.3.6.4" localSheetId="20">#REF!</definedName>
    <definedName name="ITEM6.3.6.4" localSheetId="6">#REF!</definedName>
    <definedName name="ITEM6.3.6.4" localSheetId="11">#REF!</definedName>
    <definedName name="ITEM6.3.6.4" localSheetId="12">#REF!</definedName>
    <definedName name="ITEM6.3.6.4" localSheetId="13">#REF!</definedName>
    <definedName name="ITEM6.3.6.4">#REF!</definedName>
    <definedName name="ITEM6.3.7" localSheetId="0">#REF!</definedName>
    <definedName name="ITEM6.3.7" localSheetId="1">#REF!</definedName>
    <definedName name="ITEM6.3.7" localSheetId="30">#REF!</definedName>
    <definedName name="ITEM6.3.7" localSheetId="14">#REF!</definedName>
    <definedName name="ITEM6.3.7" localSheetId="16">#REF!</definedName>
    <definedName name="ITEM6.3.7" localSheetId="7">#REF!</definedName>
    <definedName name="ITEM6.3.7" localSheetId="8">#REF!</definedName>
    <definedName name="ITEM6.3.7" localSheetId="9">#REF!</definedName>
    <definedName name="ITEM6.3.7" localSheetId="10">#REF!</definedName>
    <definedName name="ITEM6.3.7" localSheetId="19">#REF!</definedName>
    <definedName name="ITEM6.3.7" localSheetId="20">#REF!</definedName>
    <definedName name="ITEM6.3.7" localSheetId="6">#REF!</definedName>
    <definedName name="ITEM6.3.7" localSheetId="11">#REF!</definedName>
    <definedName name="ITEM6.3.7" localSheetId="12">#REF!</definedName>
    <definedName name="ITEM6.3.7" localSheetId="13">#REF!</definedName>
    <definedName name="ITEM6.3.7">#REF!</definedName>
    <definedName name="ITEM6.3.8.1" localSheetId="0">#REF!</definedName>
    <definedName name="ITEM6.3.8.1" localSheetId="1">#REF!</definedName>
    <definedName name="ITEM6.3.8.1" localSheetId="30">#REF!</definedName>
    <definedName name="ITEM6.3.8.1" localSheetId="14">#REF!</definedName>
    <definedName name="ITEM6.3.8.1" localSheetId="16">#REF!</definedName>
    <definedName name="ITEM6.3.8.1" localSheetId="7">#REF!</definedName>
    <definedName name="ITEM6.3.8.1" localSheetId="8">#REF!</definedName>
    <definedName name="ITEM6.3.8.1" localSheetId="9">#REF!</definedName>
    <definedName name="ITEM6.3.8.1" localSheetId="10">#REF!</definedName>
    <definedName name="ITEM6.3.8.1" localSheetId="19">#REF!</definedName>
    <definedName name="ITEM6.3.8.1" localSheetId="20">#REF!</definedName>
    <definedName name="ITEM6.3.8.1" localSheetId="6">#REF!</definedName>
    <definedName name="ITEM6.3.8.1" localSheetId="11">#REF!</definedName>
    <definedName name="ITEM6.3.8.1" localSheetId="12">#REF!</definedName>
    <definedName name="ITEM6.3.8.1" localSheetId="13">#REF!</definedName>
    <definedName name="ITEM6.3.8.1">#REF!</definedName>
    <definedName name="ITEM6.3.8.2" localSheetId="0">#REF!</definedName>
    <definedName name="ITEM6.3.8.2" localSheetId="1">#REF!</definedName>
    <definedName name="ITEM6.3.8.2" localSheetId="30">#REF!</definedName>
    <definedName name="ITEM6.3.8.2" localSheetId="14">#REF!</definedName>
    <definedName name="ITEM6.3.8.2" localSheetId="16">#REF!</definedName>
    <definedName name="ITEM6.3.8.2" localSheetId="7">#REF!</definedName>
    <definedName name="ITEM6.3.8.2" localSheetId="8">#REF!</definedName>
    <definedName name="ITEM6.3.8.2" localSheetId="9">#REF!</definedName>
    <definedName name="ITEM6.3.8.2" localSheetId="10">#REF!</definedName>
    <definedName name="ITEM6.3.8.2" localSheetId="19">#REF!</definedName>
    <definedName name="ITEM6.3.8.2" localSheetId="20">#REF!</definedName>
    <definedName name="ITEM6.3.8.2" localSheetId="6">#REF!</definedName>
    <definedName name="ITEM6.3.8.2" localSheetId="11">#REF!</definedName>
    <definedName name="ITEM6.3.8.2" localSheetId="12">#REF!</definedName>
    <definedName name="ITEM6.3.8.2" localSheetId="13">#REF!</definedName>
    <definedName name="ITEM6.3.8.2">#REF!</definedName>
    <definedName name="ITEM6.4.1" localSheetId="0">#REF!</definedName>
    <definedName name="ITEM6.4.1" localSheetId="1">#REF!</definedName>
    <definedName name="ITEM6.4.1" localSheetId="30">#REF!</definedName>
    <definedName name="ITEM6.4.1" localSheetId="14">#REF!</definedName>
    <definedName name="ITEM6.4.1" localSheetId="16">#REF!</definedName>
    <definedName name="ITEM6.4.1" localSheetId="7">#REF!</definedName>
    <definedName name="ITEM6.4.1" localSheetId="8">#REF!</definedName>
    <definedName name="ITEM6.4.1" localSheetId="9">#REF!</definedName>
    <definedName name="ITEM6.4.1" localSheetId="10">#REF!</definedName>
    <definedName name="ITEM6.4.1" localSheetId="19">#REF!</definedName>
    <definedName name="ITEM6.4.1" localSheetId="20">#REF!</definedName>
    <definedName name="ITEM6.4.1" localSheetId="6">#REF!</definedName>
    <definedName name="ITEM6.4.1" localSheetId="11">#REF!</definedName>
    <definedName name="ITEM6.4.1" localSheetId="12">#REF!</definedName>
    <definedName name="ITEM6.4.1" localSheetId="13">#REF!</definedName>
    <definedName name="ITEM6.4.1">#REF!</definedName>
    <definedName name="ITEM6.4.2" localSheetId="0">#REF!</definedName>
    <definedName name="ITEM6.4.2" localSheetId="1">#REF!</definedName>
    <definedName name="ITEM6.4.2" localSheetId="30">#REF!</definedName>
    <definedName name="ITEM6.4.2" localSheetId="14">#REF!</definedName>
    <definedName name="ITEM6.4.2" localSheetId="16">#REF!</definedName>
    <definedName name="ITEM6.4.2" localSheetId="7">#REF!</definedName>
    <definedName name="ITEM6.4.2" localSheetId="8">#REF!</definedName>
    <definedName name="ITEM6.4.2" localSheetId="9">#REF!</definedName>
    <definedName name="ITEM6.4.2" localSheetId="10">#REF!</definedName>
    <definedName name="ITEM6.4.2" localSheetId="19">#REF!</definedName>
    <definedName name="ITEM6.4.2" localSheetId="20">#REF!</definedName>
    <definedName name="ITEM6.4.2" localSheetId="6">#REF!</definedName>
    <definedName name="ITEM6.4.2" localSheetId="11">#REF!</definedName>
    <definedName name="ITEM6.4.2" localSheetId="12">#REF!</definedName>
    <definedName name="ITEM6.4.2" localSheetId="13">#REF!</definedName>
    <definedName name="ITEM6.4.2">#REF!</definedName>
    <definedName name="ITEM6.4.3" localSheetId="0">#REF!</definedName>
    <definedName name="ITEM6.4.3" localSheetId="1">#REF!</definedName>
    <definedName name="ITEM6.4.3" localSheetId="30">#REF!</definedName>
    <definedName name="ITEM6.4.3" localSheetId="14">#REF!</definedName>
    <definedName name="ITEM6.4.3" localSheetId="16">#REF!</definedName>
    <definedName name="ITEM6.4.3" localSheetId="7">#REF!</definedName>
    <definedName name="ITEM6.4.3" localSheetId="8">#REF!</definedName>
    <definedName name="ITEM6.4.3" localSheetId="9">#REF!</definedName>
    <definedName name="ITEM6.4.3" localSheetId="10">#REF!</definedName>
    <definedName name="ITEM6.4.3" localSheetId="19">#REF!</definedName>
    <definedName name="ITEM6.4.3" localSheetId="20">#REF!</definedName>
    <definedName name="ITEM6.4.3" localSheetId="6">#REF!</definedName>
    <definedName name="ITEM6.4.3" localSheetId="11">#REF!</definedName>
    <definedName name="ITEM6.4.3" localSheetId="12">#REF!</definedName>
    <definedName name="ITEM6.4.3" localSheetId="13">#REF!</definedName>
    <definedName name="ITEM6.4.3">#REF!</definedName>
    <definedName name="ITEM6.4.4" localSheetId="0">#REF!</definedName>
    <definedName name="ITEM6.4.4" localSheetId="1">#REF!</definedName>
    <definedName name="ITEM6.4.4" localSheetId="30">#REF!</definedName>
    <definedName name="ITEM6.4.4" localSheetId="14">#REF!</definedName>
    <definedName name="ITEM6.4.4" localSheetId="16">#REF!</definedName>
    <definedName name="ITEM6.4.4" localSheetId="7">#REF!</definedName>
    <definedName name="ITEM6.4.4" localSheetId="8">#REF!</definedName>
    <definedName name="ITEM6.4.4" localSheetId="9">#REF!</definedName>
    <definedName name="ITEM6.4.4" localSheetId="10">#REF!</definedName>
    <definedName name="ITEM6.4.4" localSheetId="19">#REF!</definedName>
    <definedName name="ITEM6.4.4" localSheetId="20">#REF!</definedName>
    <definedName name="ITEM6.4.4" localSheetId="6">#REF!</definedName>
    <definedName name="ITEM6.4.4" localSheetId="11">#REF!</definedName>
    <definedName name="ITEM6.4.4" localSheetId="12">#REF!</definedName>
    <definedName name="ITEM6.4.4" localSheetId="13">#REF!</definedName>
    <definedName name="ITEM6.4.4">#REF!</definedName>
    <definedName name="ITEM6.4.5.1" localSheetId="0">#REF!</definedName>
    <definedName name="ITEM6.4.5.1" localSheetId="1">#REF!</definedName>
    <definedName name="ITEM6.4.5.1" localSheetId="30">#REF!</definedName>
    <definedName name="ITEM6.4.5.1" localSheetId="14">#REF!</definedName>
    <definedName name="ITEM6.4.5.1" localSheetId="16">#REF!</definedName>
    <definedName name="ITEM6.4.5.1" localSheetId="7">#REF!</definedName>
    <definedName name="ITEM6.4.5.1" localSheetId="8">#REF!</definedName>
    <definedName name="ITEM6.4.5.1" localSheetId="9">#REF!</definedName>
    <definedName name="ITEM6.4.5.1" localSheetId="10">#REF!</definedName>
    <definedName name="ITEM6.4.5.1" localSheetId="19">#REF!</definedName>
    <definedName name="ITEM6.4.5.1" localSheetId="20">#REF!</definedName>
    <definedName name="ITEM6.4.5.1" localSheetId="6">#REF!</definedName>
    <definedName name="ITEM6.4.5.1" localSheetId="11">#REF!</definedName>
    <definedName name="ITEM6.4.5.1" localSheetId="12">#REF!</definedName>
    <definedName name="ITEM6.4.5.1" localSheetId="13">#REF!</definedName>
    <definedName name="ITEM6.4.5.1">#REF!</definedName>
    <definedName name="ITEM6.4.5.2" localSheetId="0">#REF!</definedName>
    <definedName name="ITEM6.4.5.2" localSheetId="1">#REF!</definedName>
    <definedName name="ITEM6.4.5.2" localSheetId="30">#REF!</definedName>
    <definedName name="ITEM6.4.5.2" localSheetId="14">#REF!</definedName>
    <definedName name="ITEM6.4.5.2" localSheetId="16">#REF!</definedName>
    <definedName name="ITEM6.4.5.2" localSheetId="7">#REF!</definedName>
    <definedName name="ITEM6.4.5.2" localSheetId="8">#REF!</definedName>
    <definedName name="ITEM6.4.5.2" localSheetId="9">#REF!</definedName>
    <definedName name="ITEM6.4.5.2" localSheetId="10">#REF!</definedName>
    <definedName name="ITEM6.4.5.2" localSheetId="19">#REF!</definedName>
    <definedName name="ITEM6.4.5.2" localSheetId="20">#REF!</definedName>
    <definedName name="ITEM6.4.5.2" localSheetId="6">#REF!</definedName>
    <definedName name="ITEM6.4.5.2" localSheetId="11">#REF!</definedName>
    <definedName name="ITEM6.4.5.2" localSheetId="12">#REF!</definedName>
    <definedName name="ITEM6.4.5.2" localSheetId="13">#REF!</definedName>
    <definedName name="ITEM6.4.5.2">#REF!</definedName>
    <definedName name="ITEM6.4.5.3" localSheetId="0">#REF!</definedName>
    <definedName name="ITEM6.4.5.3" localSheetId="1">#REF!</definedName>
    <definedName name="ITEM6.4.5.3" localSheetId="30">#REF!</definedName>
    <definedName name="ITEM6.4.5.3" localSheetId="14">#REF!</definedName>
    <definedName name="ITEM6.4.5.3" localSheetId="16">#REF!</definedName>
    <definedName name="ITEM6.4.5.3" localSheetId="7">#REF!</definedName>
    <definedName name="ITEM6.4.5.3" localSheetId="8">#REF!</definedName>
    <definedName name="ITEM6.4.5.3" localSheetId="9">#REF!</definedName>
    <definedName name="ITEM6.4.5.3" localSheetId="10">#REF!</definedName>
    <definedName name="ITEM6.4.5.3" localSheetId="19">#REF!</definedName>
    <definedName name="ITEM6.4.5.3" localSheetId="20">#REF!</definedName>
    <definedName name="ITEM6.4.5.3" localSheetId="6">#REF!</definedName>
    <definedName name="ITEM6.4.5.3" localSheetId="11">#REF!</definedName>
    <definedName name="ITEM6.4.5.3" localSheetId="12">#REF!</definedName>
    <definedName name="ITEM6.4.5.3" localSheetId="13">#REF!</definedName>
    <definedName name="ITEM6.4.5.3">#REF!</definedName>
    <definedName name="ITEM6.4.5.4" localSheetId="0">#REF!</definedName>
    <definedName name="ITEM6.4.5.4" localSheetId="1">#REF!</definedName>
    <definedName name="ITEM6.4.5.4" localSheetId="30">#REF!</definedName>
    <definedName name="ITEM6.4.5.4" localSheetId="14">#REF!</definedName>
    <definedName name="ITEM6.4.5.4" localSheetId="16">#REF!</definedName>
    <definedName name="ITEM6.4.5.4" localSheetId="7">#REF!</definedName>
    <definedName name="ITEM6.4.5.4" localSheetId="8">#REF!</definedName>
    <definedName name="ITEM6.4.5.4" localSheetId="9">#REF!</definedName>
    <definedName name="ITEM6.4.5.4" localSheetId="10">#REF!</definedName>
    <definedName name="ITEM6.4.5.4" localSheetId="19">#REF!</definedName>
    <definedName name="ITEM6.4.5.4" localSheetId="20">#REF!</definedName>
    <definedName name="ITEM6.4.5.4" localSheetId="6">#REF!</definedName>
    <definedName name="ITEM6.4.5.4" localSheetId="11">#REF!</definedName>
    <definedName name="ITEM6.4.5.4" localSheetId="12">#REF!</definedName>
    <definedName name="ITEM6.4.5.4" localSheetId="13">#REF!</definedName>
    <definedName name="ITEM6.4.5.4">#REF!</definedName>
    <definedName name="ITEM6.4.6.1" localSheetId="0">#REF!</definedName>
    <definedName name="ITEM6.4.6.1" localSheetId="1">#REF!</definedName>
    <definedName name="ITEM6.4.6.1" localSheetId="30">#REF!</definedName>
    <definedName name="ITEM6.4.6.1" localSheetId="14">#REF!</definedName>
    <definedName name="ITEM6.4.6.1" localSheetId="16">#REF!</definedName>
    <definedName name="ITEM6.4.6.1" localSheetId="7">#REF!</definedName>
    <definedName name="ITEM6.4.6.1" localSheetId="8">#REF!</definedName>
    <definedName name="ITEM6.4.6.1" localSheetId="9">#REF!</definedName>
    <definedName name="ITEM6.4.6.1" localSheetId="10">#REF!</definedName>
    <definedName name="ITEM6.4.6.1" localSheetId="19">#REF!</definedName>
    <definedName name="ITEM6.4.6.1" localSheetId="20">#REF!</definedName>
    <definedName name="ITEM6.4.6.1" localSheetId="6">#REF!</definedName>
    <definedName name="ITEM6.4.6.1" localSheetId="11">#REF!</definedName>
    <definedName name="ITEM6.4.6.1" localSheetId="12">#REF!</definedName>
    <definedName name="ITEM6.4.6.1" localSheetId="13">#REF!</definedName>
    <definedName name="ITEM6.4.6.1">#REF!</definedName>
    <definedName name="ITEM6.4.6.2" localSheetId="0">#REF!</definedName>
    <definedName name="ITEM6.4.6.2" localSheetId="1">#REF!</definedName>
    <definedName name="ITEM6.4.6.2" localSheetId="30">#REF!</definedName>
    <definedName name="ITEM6.4.6.2" localSheetId="14">#REF!</definedName>
    <definedName name="ITEM6.4.6.2" localSheetId="16">#REF!</definedName>
    <definedName name="ITEM6.4.6.2" localSheetId="7">#REF!</definedName>
    <definedName name="ITEM6.4.6.2" localSheetId="8">#REF!</definedName>
    <definedName name="ITEM6.4.6.2" localSheetId="9">#REF!</definedName>
    <definedName name="ITEM6.4.6.2" localSheetId="10">#REF!</definedName>
    <definedName name="ITEM6.4.6.2" localSheetId="19">#REF!</definedName>
    <definedName name="ITEM6.4.6.2" localSheetId="20">#REF!</definedName>
    <definedName name="ITEM6.4.6.2" localSheetId="6">#REF!</definedName>
    <definedName name="ITEM6.4.6.2" localSheetId="11">#REF!</definedName>
    <definedName name="ITEM6.4.6.2" localSheetId="12">#REF!</definedName>
    <definedName name="ITEM6.4.6.2" localSheetId="13">#REF!</definedName>
    <definedName name="ITEM6.4.6.2">#REF!</definedName>
    <definedName name="ITEM6.4.6.3" localSheetId="0">#REF!</definedName>
    <definedName name="ITEM6.4.6.3" localSheetId="1">#REF!</definedName>
    <definedName name="ITEM6.4.6.3" localSheetId="30">#REF!</definedName>
    <definedName name="ITEM6.4.6.3" localSheetId="14">#REF!</definedName>
    <definedName name="ITEM6.4.6.3" localSheetId="16">#REF!</definedName>
    <definedName name="ITEM6.4.6.3" localSheetId="7">#REF!</definedName>
    <definedName name="ITEM6.4.6.3" localSheetId="8">#REF!</definedName>
    <definedName name="ITEM6.4.6.3" localSheetId="9">#REF!</definedName>
    <definedName name="ITEM6.4.6.3" localSheetId="10">#REF!</definedName>
    <definedName name="ITEM6.4.6.3" localSheetId="19">#REF!</definedName>
    <definedName name="ITEM6.4.6.3" localSheetId="20">#REF!</definedName>
    <definedName name="ITEM6.4.6.3" localSheetId="6">#REF!</definedName>
    <definedName name="ITEM6.4.6.3" localSheetId="11">#REF!</definedName>
    <definedName name="ITEM6.4.6.3" localSheetId="12">#REF!</definedName>
    <definedName name="ITEM6.4.6.3" localSheetId="13">#REF!</definedName>
    <definedName name="ITEM6.4.6.3">#REF!</definedName>
    <definedName name="ITEM6.4.6.4" localSheetId="0">#REF!</definedName>
    <definedName name="ITEM6.4.6.4" localSheetId="1">#REF!</definedName>
    <definedName name="ITEM6.4.6.4" localSheetId="30">#REF!</definedName>
    <definedName name="ITEM6.4.6.4" localSheetId="14">#REF!</definedName>
    <definedName name="ITEM6.4.6.4" localSheetId="16">#REF!</definedName>
    <definedName name="ITEM6.4.6.4" localSheetId="7">#REF!</definedName>
    <definedName name="ITEM6.4.6.4" localSheetId="8">#REF!</definedName>
    <definedName name="ITEM6.4.6.4" localSheetId="9">#REF!</definedName>
    <definedName name="ITEM6.4.6.4" localSheetId="10">#REF!</definedName>
    <definedName name="ITEM6.4.6.4" localSheetId="19">#REF!</definedName>
    <definedName name="ITEM6.4.6.4" localSheetId="20">#REF!</definedName>
    <definedName name="ITEM6.4.6.4" localSheetId="6">#REF!</definedName>
    <definedName name="ITEM6.4.6.4" localSheetId="11">#REF!</definedName>
    <definedName name="ITEM6.4.6.4" localSheetId="12">#REF!</definedName>
    <definedName name="ITEM6.4.6.4" localSheetId="13">#REF!</definedName>
    <definedName name="ITEM6.4.6.4">#REF!</definedName>
    <definedName name="ITEM6.4.6.5" localSheetId="0">#REF!</definedName>
    <definedName name="ITEM6.4.6.5" localSheetId="1">#REF!</definedName>
    <definedName name="ITEM6.4.6.5" localSheetId="30">#REF!</definedName>
    <definedName name="ITEM6.4.6.5" localSheetId="14">#REF!</definedName>
    <definedName name="ITEM6.4.6.5" localSheetId="16">#REF!</definedName>
    <definedName name="ITEM6.4.6.5" localSheetId="7">#REF!</definedName>
    <definedName name="ITEM6.4.6.5" localSheetId="8">#REF!</definedName>
    <definedName name="ITEM6.4.6.5" localSheetId="9">#REF!</definedName>
    <definedName name="ITEM6.4.6.5" localSheetId="10">#REF!</definedName>
    <definedName name="ITEM6.4.6.5" localSheetId="19">#REF!</definedName>
    <definedName name="ITEM6.4.6.5" localSheetId="20">#REF!</definedName>
    <definedName name="ITEM6.4.6.5" localSheetId="6">#REF!</definedName>
    <definedName name="ITEM6.4.6.5" localSheetId="11">#REF!</definedName>
    <definedName name="ITEM6.4.6.5" localSheetId="12">#REF!</definedName>
    <definedName name="ITEM6.4.6.5" localSheetId="13">#REF!</definedName>
    <definedName name="ITEM6.4.6.5">#REF!</definedName>
    <definedName name="ITEM6.5.1" localSheetId="0">#REF!</definedName>
    <definedName name="ITEM6.5.1" localSheetId="1">#REF!</definedName>
    <definedName name="ITEM6.5.1" localSheetId="30">#REF!</definedName>
    <definedName name="ITEM6.5.1" localSheetId="14">#REF!</definedName>
    <definedName name="ITEM6.5.1" localSheetId="16">#REF!</definedName>
    <definedName name="ITEM6.5.1" localSheetId="7">#REF!</definedName>
    <definedName name="ITEM6.5.1" localSheetId="8">#REF!</definedName>
    <definedName name="ITEM6.5.1" localSheetId="9">#REF!</definedName>
    <definedName name="ITEM6.5.1" localSheetId="10">#REF!</definedName>
    <definedName name="ITEM6.5.1" localSheetId="19">#REF!</definedName>
    <definedName name="ITEM6.5.1" localSheetId="20">#REF!</definedName>
    <definedName name="ITEM6.5.1" localSheetId="6">#REF!</definedName>
    <definedName name="ITEM6.5.1" localSheetId="11">#REF!</definedName>
    <definedName name="ITEM6.5.1" localSheetId="12">#REF!</definedName>
    <definedName name="ITEM6.5.1" localSheetId="13">#REF!</definedName>
    <definedName name="ITEM6.5.1">#REF!</definedName>
    <definedName name="ITEM6.5.2" localSheetId="0">#REF!</definedName>
    <definedName name="ITEM6.5.2" localSheetId="1">#REF!</definedName>
    <definedName name="ITEM6.5.2" localSheetId="30">#REF!</definedName>
    <definedName name="ITEM6.5.2" localSheetId="14">#REF!</definedName>
    <definedName name="ITEM6.5.2" localSheetId="16">#REF!</definedName>
    <definedName name="ITEM6.5.2" localSheetId="7">#REF!</definedName>
    <definedName name="ITEM6.5.2" localSheetId="8">#REF!</definedName>
    <definedName name="ITEM6.5.2" localSheetId="9">#REF!</definedName>
    <definedName name="ITEM6.5.2" localSheetId="10">#REF!</definedName>
    <definedName name="ITEM6.5.2" localSheetId="19">#REF!</definedName>
    <definedName name="ITEM6.5.2" localSheetId="20">#REF!</definedName>
    <definedName name="ITEM6.5.2" localSheetId="6">#REF!</definedName>
    <definedName name="ITEM6.5.2" localSheetId="11">#REF!</definedName>
    <definedName name="ITEM6.5.2" localSheetId="12">#REF!</definedName>
    <definedName name="ITEM6.5.2" localSheetId="13">#REF!</definedName>
    <definedName name="ITEM6.5.2">#REF!</definedName>
    <definedName name="ITEM6.6.1" localSheetId="0">#REF!</definedName>
    <definedName name="ITEM6.6.1" localSheetId="1">#REF!</definedName>
    <definedName name="ITEM6.6.1" localSheetId="30">#REF!</definedName>
    <definedName name="ITEM6.6.1" localSheetId="14">#REF!</definedName>
    <definedName name="ITEM6.6.1" localSheetId="16">#REF!</definedName>
    <definedName name="ITEM6.6.1" localSheetId="7">#REF!</definedName>
    <definedName name="ITEM6.6.1" localSheetId="8">#REF!</definedName>
    <definedName name="ITEM6.6.1" localSheetId="9">#REF!</definedName>
    <definedName name="ITEM6.6.1" localSheetId="10">#REF!</definedName>
    <definedName name="ITEM6.6.1" localSheetId="19">#REF!</definedName>
    <definedName name="ITEM6.6.1" localSheetId="20">#REF!</definedName>
    <definedName name="ITEM6.6.1" localSheetId="6">#REF!</definedName>
    <definedName name="ITEM6.6.1" localSheetId="11">#REF!</definedName>
    <definedName name="ITEM6.6.1" localSheetId="12">#REF!</definedName>
    <definedName name="ITEM6.6.1" localSheetId="13">#REF!</definedName>
    <definedName name="ITEM6.6.1">#REF!</definedName>
    <definedName name="ITEM6.6.2" localSheetId="0">#REF!</definedName>
    <definedName name="ITEM6.6.2" localSheetId="1">#REF!</definedName>
    <definedName name="ITEM6.6.2" localSheetId="30">#REF!</definedName>
    <definedName name="ITEM6.6.2" localSheetId="14">#REF!</definedName>
    <definedName name="ITEM6.6.2" localSheetId="16">#REF!</definedName>
    <definedName name="ITEM6.6.2" localSheetId="7">#REF!</definedName>
    <definedName name="ITEM6.6.2" localSheetId="8">#REF!</definedName>
    <definedName name="ITEM6.6.2" localSheetId="9">#REF!</definedName>
    <definedName name="ITEM6.6.2" localSheetId="10">#REF!</definedName>
    <definedName name="ITEM6.6.2" localSheetId="19">#REF!</definedName>
    <definedName name="ITEM6.6.2" localSheetId="20">#REF!</definedName>
    <definedName name="ITEM6.6.2" localSheetId="6">#REF!</definedName>
    <definedName name="ITEM6.6.2" localSheetId="11">#REF!</definedName>
    <definedName name="ITEM6.6.2" localSheetId="12">#REF!</definedName>
    <definedName name="ITEM6.6.2" localSheetId="13">#REF!</definedName>
    <definedName name="ITEM6.6.2">#REF!</definedName>
    <definedName name="ITEM6.7.1" localSheetId="0">#REF!</definedName>
    <definedName name="ITEM6.7.1" localSheetId="1">#REF!</definedName>
    <definedName name="ITEM6.7.1" localSheetId="30">#REF!</definedName>
    <definedName name="ITEM6.7.1" localSheetId="14">#REF!</definedName>
    <definedName name="ITEM6.7.1" localSheetId="16">#REF!</definedName>
    <definedName name="ITEM6.7.1" localSheetId="7">#REF!</definedName>
    <definedName name="ITEM6.7.1" localSheetId="8">#REF!</definedName>
    <definedName name="ITEM6.7.1" localSheetId="9">#REF!</definedName>
    <definedName name="ITEM6.7.1" localSheetId="10">#REF!</definedName>
    <definedName name="ITEM6.7.1" localSheetId="19">#REF!</definedName>
    <definedName name="ITEM6.7.1" localSheetId="20">#REF!</definedName>
    <definedName name="ITEM6.7.1" localSheetId="6">#REF!</definedName>
    <definedName name="ITEM6.7.1" localSheetId="11">#REF!</definedName>
    <definedName name="ITEM6.7.1" localSheetId="12">#REF!</definedName>
    <definedName name="ITEM6.7.1" localSheetId="13">#REF!</definedName>
    <definedName name="ITEM6.7.1">#REF!</definedName>
    <definedName name="ITEM6.8.1" localSheetId="0">#REF!</definedName>
    <definedName name="ITEM6.8.1" localSheetId="1">#REF!</definedName>
    <definedName name="ITEM6.8.1" localSheetId="30">#REF!</definedName>
    <definedName name="ITEM6.8.1" localSheetId="14">#REF!</definedName>
    <definedName name="ITEM6.8.1" localSheetId="16">#REF!</definedName>
    <definedName name="ITEM6.8.1" localSheetId="7">#REF!</definedName>
    <definedName name="ITEM6.8.1" localSheetId="8">#REF!</definedName>
    <definedName name="ITEM6.8.1" localSheetId="9">#REF!</definedName>
    <definedName name="ITEM6.8.1" localSheetId="10">#REF!</definedName>
    <definedName name="ITEM6.8.1" localSheetId="19">#REF!</definedName>
    <definedName name="ITEM6.8.1" localSheetId="20">#REF!</definedName>
    <definedName name="ITEM6.8.1" localSheetId="6">#REF!</definedName>
    <definedName name="ITEM6.8.1" localSheetId="11">#REF!</definedName>
    <definedName name="ITEM6.8.1" localSheetId="12">#REF!</definedName>
    <definedName name="ITEM6.8.1" localSheetId="13">#REF!</definedName>
    <definedName name="ITEM6.8.1">#REF!</definedName>
    <definedName name="ITEM6.9.1.1" localSheetId="0">#REF!</definedName>
    <definedName name="ITEM6.9.1.1" localSheetId="1">#REF!</definedName>
    <definedName name="ITEM6.9.1.1" localSheetId="30">#REF!</definedName>
    <definedName name="ITEM6.9.1.1" localSheetId="14">#REF!</definedName>
    <definedName name="ITEM6.9.1.1" localSheetId="16">#REF!</definedName>
    <definedName name="ITEM6.9.1.1" localSheetId="7">#REF!</definedName>
    <definedName name="ITEM6.9.1.1" localSheetId="8">#REF!</definedName>
    <definedName name="ITEM6.9.1.1" localSheetId="9">#REF!</definedName>
    <definedName name="ITEM6.9.1.1" localSheetId="10">#REF!</definedName>
    <definedName name="ITEM6.9.1.1" localSheetId="19">#REF!</definedName>
    <definedName name="ITEM6.9.1.1" localSheetId="20">#REF!</definedName>
    <definedName name="ITEM6.9.1.1" localSheetId="6">#REF!</definedName>
    <definedName name="ITEM6.9.1.1" localSheetId="11">#REF!</definedName>
    <definedName name="ITEM6.9.1.1" localSheetId="12">#REF!</definedName>
    <definedName name="ITEM6.9.1.1" localSheetId="13">#REF!</definedName>
    <definedName name="ITEM6.9.1.1">#REF!</definedName>
    <definedName name="ITEM6.9.1.2" localSheetId="0">#REF!</definedName>
    <definedName name="ITEM6.9.1.2" localSheetId="1">#REF!</definedName>
    <definedName name="ITEM6.9.1.2" localSheetId="30">#REF!</definedName>
    <definedName name="ITEM6.9.1.2" localSheetId="14">#REF!</definedName>
    <definedName name="ITEM6.9.1.2" localSheetId="16">#REF!</definedName>
    <definedName name="ITEM6.9.1.2" localSheetId="7">#REF!</definedName>
    <definedName name="ITEM6.9.1.2" localSheetId="8">#REF!</definedName>
    <definedName name="ITEM6.9.1.2" localSheetId="9">#REF!</definedName>
    <definedName name="ITEM6.9.1.2" localSheetId="10">#REF!</definedName>
    <definedName name="ITEM6.9.1.2" localSheetId="19">#REF!</definedName>
    <definedName name="ITEM6.9.1.2" localSheetId="20">#REF!</definedName>
    <definedName name="ITEM6.9.1.2" localSheetId="6">#REF!</definedName>
    <definedName name="ITEM6.9.1.2" localSheetId="11">#REF!</definedName>
    <definedName name="ITEM6.9.1.2" localSheetId="12">#REF!</definedName>
    <definedName name="ITEM6.9.1.2" localSheetId="13">#REF!</definedName>
    <definedName name="ITEM6.9.1.2">#REF!</definedName>
    <definedName name="Kilometer_Stone" localSheetId="1">[17]ค่างานต้นทุนต่อหน่วย!#REF!</definedName>
    <definedName name="Kilometer_Stone" localSheetId="30">[17]ค่างานต้นทุนต่อหน่วย!#REF!</definedName>
    <definedName name="Kilometer_Stone">'[19]Cost Estimate'!#REF!</definedName>
    <definedName name="kkk" localSheetId="1">#REF!</definedName>
    <definedName name="kkk" localSheetId="30">#REF!</definedName>
    <definedName name="L" localSheetId="1">#REF!</definedName>
    <definedName name="L" localSheetId="30">#REF!</definedName>
    <definedName name="L">[9]ค่างานต้นทุน!$H$117</definedName>
    <definedName name="L_1" localSheetId="1">[21]ข้อมูลคำนวณ1!$C$108</definedName>
    <definedName name="L_1" localSheetId="30">[21]ข้อมูลคำนวณ1!$C$108</definedName>
    <definedName name="L_1">[22]ข้อมูลคำนวณ1!$C$108</definedName>
    <definedName name="L_2" localSheetId="1">[21]ข้อมูลคำนวณ1!$C$98</definedName>
    <definedName name="L_2" localSheetId="30">[21]ข้อมูลคำนวณ1!$C$98</definedName>
    <definedName name="L_2">[22]ข้อมูลคำนวณ1!$C$98</definedName>
    <definedName name="L_3" localSheetId="1">[21]ข้อมูลคำนวณ1!$C$109</definedName>
    <definedName name="L_3" localSheetId="30">[21]ข้อมูลคำนวณ1!$C$109</definedName>
    <definedName name="L_3">[22]ข้อมูลคำนวณ1!$C$109</definedName>
    <definedName name="L_4" localSheetId="1">[21]ข้อมูลคำนวณ1!$C$100</definedName>
    <definedName name="L_4" localSheetId="30">[21]ข้อมูลคำนวณ1!$C$100</definedName>
    <definedName name="L_4">[22]ข้อมูลคำนวณ1!$C$100</definedName>
    <definedName name="LB" localSheetId="0">#REF!</definedName>
    <definedName name="LB" localSheetId="1">#REF!</definedName>
    <definedName name="LB" localSheetId="30">#REF!</definedName>
    <definedName name="LB" localSheetId="14">#REF!</definedName>
    <definedName name="LB" localSheetId="16">#REF!</definedName>
    <definedName name="LB" localSheetId="7">#REF!</definedName>
    <definedName name="LB" localSheetId="8">#REF!</definedName>
    <definedName name="LB" localSheetId="9">#REF!</definedName>
    <definedName name="LB" localSheetId="10">#REF!</definedName>
    <definedName name="LB" localSheetId="19">#REF!</definedName>
    <definedName name="LB" localSheetId="20">#REF!</definedName>
    <definedName name="LB" localSheetId="6">#REF!</definedName>
    <definedName name="LB" localSheetId="11">#REF!</definedName>
    <definedName name="LB" localSheetId="12">#REF!</definedName>
    <definedName name="LB" localSheetId="13">#REF!</definedName>
    <definedName name="LB">#REF!</definedName>
    <definedName name="LBD" localSheetId="0">#REF!</definedName>
    <definedName name="LBD" localSheetId="1">#REF!</definedName>
    <definedName name="LBD" localSheetId="30">#REF!</definedName>
    <definedName name="LBD" localSheetId="14">#REF!</definedName>
    <definedName name="LBD" localSheetId="16">#REF!</definedName>
    <definedName name="LBD" localSheetId="7">#REF!</definedName>
    <definedName name="LBD" localSheetId="8">#REF!</definedName>
    <definedName name="LBD" localSheetId="9">#REF!</definedName>
    <definedName name="LBD" localSheetId="10">#REF!</definedName>
    <definedName name="LBD" localSheetId="19">#REF!</definedName>
    <definedName name="LBD" localSheetId="20">#REF!</definedName>
    <definedName name="LBD" localSheetId="6">#REF!</definedName>
    <definedName name="LBD" localSheetId="11">#REF!</definedName>
    <definedName name="LBD" localSheetId="12">#REF!</definedName>
    <definedName name="LBD" localSheetId="13">#REF!</definedName>
    <definedName name="LBD">#REF!</definedName>
    <definedName name="LC" localSheetId="1">'[31]Cal Fto'!#REF!</definedName>
    <definedName name="LC" localSheetId="30">'[31]Cal Fto'!#REF!</definedName>
    <definedName name="LCD" localSheetId="1">#REF!</definedName>
    <definedName name="LCD" localSheetId="30">#REF!</definedName>
    <definedName name="LCH" localSheetId="1">#REF!</definedName>
    <definedName name="LCH" localSheetId="30">#REF!</definedName>
    <definedName name="LCU" localSheetId="1">#REF!</definedName>
    <definedName name="LCU" localSheetId="30">#REF!</definedName>
    <definedName name="LD" localSheetId="1">'[31]Cal Fto'!#REF!</definedName>
    <definedName name="LD" localSheetId="30">'[31]Cal Fto'!#REF!</definedName>
    <definedName name="lean" localSheetId="0">#REF!</definedName>
    <definedName name="lean" localSheetId="1">[46]รายการประมาณราคาต่อหน่วย!#REF!</definedName>
    <definedName name="lean" localSheetId="30">[46]รายการประมาณราคาต่อหน่วย!#REF!</definedName>
    <definedName name="lean" localSheetId="14">#REF!</definedName>
    <definedName name="lean" localSheetId="16">#REF!</definedName>
    <definedName name="lean" localSheetId="7">#REF!</definedName>
    <definedName name="lean" localSheetId="8">#REF!</definedName>
    <definedName name="lean" localSheetId="9">#REF!</definedName>
    <definedName name="lean" localSheetId="10">#REF!</definedName>
    <definedName name="lean" localSheetId="19">#REF!</definedName>
    <definedName name="lean" localSheetId="20">#REF!</definedName>
    <definedName name="lean" localSheetId="6">#REF!</definedName>
    <definedName name="lean" localSheetId="11">#REF!</definedName>
    <definedName name="lean" localSheetId="12">#REF!</definedName>
    <definedName name="lean" localSheetId="13">#REF!</definedName>
    <definedName name="lean">#REF!</definedName>
    <definedName name="LimeList" localSheetId="1">[8]Sheet1!$L$35</definedName>
    <definedName name="LimeList" localSheetId="30">[8]Sheet1!$L$35</definedName>
    <definedName name="LimeList">[4]Form1!$L$34</definedName>
    <definedName name="LimePrice" localSheetId="1">[8]Sheet1!$T$14</definedName>
    <definedName name="LimePrice" localSheetId="30">[8]Sheet1!$T$14</definedName>
    <definedName name="LimePrice">'[4]ได้ราคาคอนกรีต-เหล็กเสริม'!$T$14</definedName>
    <definedName name="LimePrice1" localSheetId="1">[28]ข้อมูลงานคอนกรีต!#REF!</definedName>
    <definedName name="LimePrice1" localSheetId="30">[28]ข้อมูลงานคอนกรีต!#REF!</definedName>
    <definedName name="LimePrice1">[19]ข้อมูลงานคอนกรีต!#REF!</definedName>
    <definedName name="Longitudinal_Joint" localSheetId="0">#REF!</definedName>
    <definedName name="Longitudinal_Joint" localSheetId="1">[17]ค่างานต้นทุนต่อหน่วย!#REF!</definedName>
    <definedName name="Longitudinal_Joint" localSheetId="30">[17]ค่างานต้นทุนต่อหน่วย!#REF!</definedName>
    <definedName name="Longitudinal_Joint" localSheetId="14">#REF!</definedName>
    <definedName name="Longitudinal_Joint" localSheetId="16">#REF!</definedName>
    <definedName name="Longitudinal_Joint" localSheetId="7">#REF!</definedName>
    <definedName name="Longitudinal_Joint" localSheetId="8">#REF!</definedName>
    <definedName name="Longitudinal_Joint" localSheetId="9">#REF!</definedName>
    <definedName name="Longitudinal_Joint" localSheetId="10">#REF!</definedName>
    <definedName name="Longitudinal_Joint" localSheetId="19">#REF!</definedName>
    <definedName name="Longitudinal_Joint" localSheetId="20">#REF!</definedName>
    <definedName name="Longitudinal_Joint" localSheetId="6">#REF!</definedName>
    <definedName name="Longitudinal_Joint" localSheetId="11">#REF!</definedName>
    <definedName name="Longitudinal_Joint" localSheetId="12">#REF!</definedName>
    <definedName name="Longitudinal_Joint" localSheetId="13">#REF!</definedName>
    <definedName name="Longitudinal_Joint">#REF!</definedName>
    <definedName name="LR" localSheetId="0">#REF!</definedName>
    <definedName name="LR" localSheetId="1">#REF!</definedName>
    <definedName name="LR" localSheetId="30">#REF!</definedName>
    <definedName name="LR" localSheetId="14">#REF!</definedName>
    <definedName name="LR" localSheetId="16">#REF!</definedName>
    <definedName name="LR" localSheetId="7">#REF!</definedName>
    <definedName name="LR" localSheetId="8">#REF!</definedName>
    <definedName name="LR" localSheetId="9">#REF!</definedName>
    <definedName name="LR" localSheetId="10">#REF!</definedName>
    <definedName name="LR" localSheetId="19">#REF!</definedName>
    <definedName name="LR" localSheetId="20">#REF!</definedName>
    <definedName name="LR" localSheetId="6">#REF!</definedName>
    <definedName name="LR" localSheetId="11">#REF!</definedName>
    <definedName name="LR" localSheetId="12">#REF!</definedName>
    <definedName name="LR" localSheetId="13">#REF!</definedName>
    <definedName name="LR">#REF!</definedName>
    <definedName name="LTD" localSheetId="1">'[31]Cal Fto'!#REF!</definedName>
    <definedName name="LTD" localSheetId="30">'[31]Cal Fto'!#REF!</definedName>
    <definedName name="LTU" localSheetId="1">'[31]Cal Fto'!#REF!</definedName>
    <definedName name="LTU" localSheetId="30">'[31]Cal Fto'!#REF!</definedName>
    <definedName name="LU" localSheetId="1">'[31]Cal Fto'!#REF!</definedName>
    <definedName name="LU" localSheetId="30">'[31]Cal Fto'!#REF!</definedName>
    <definedName name="LUB" localSheetId="0">#REF!</definedName>
    <definedName name="LUB" localSheetId="1">#REF!</definedName>
    <definedName name="LUB" localSheetId="30">#REF!</definedName>
    <definedName name="LUB" localSheetId="14">#REF!</definedName>
    <definedName name="LUB" localSheetId="16">#REF!</definedName>
    <definedName name="LUB" localSheetId="7">#REF!</definedName>
    <definedName name="LUB" localSheetId="8">#REF!</definedName>
    <definedName name="LUB" localSheetId="9">#REF!</definedName>
    <definedName name="LUB" localSheetId="10">#REF!</definedName>
    <definedName name="LUB" localSheetId="19">#REF!</definedName>
    <definedName name="LUB" localSheetId="20">#REF!</definedName>
    <definedName name="LUB" localSheetId="6">#REF!</definedName>
    <definedName name="LUB" localSheetId="11">#REF!</definedName>
    <definedName name="LUB" localSheetId="12">#REF!</definedName>
    <definedName name="LUB" localSheetId="13">#REF!</definedName>
    <definedName name="LUB">#REF!</definedName>
    <definedName name="M_1423" localSheetId="1">#REF!</definedName>
    <definedName name="M_1423" localSheetId="30">#REF!</definedName>
    <definedName name="man" localSheetId="1">#REF!</definedName>
    <definedName name="man" localSheetId="30">#REF!</definedName>
    <definedName name="ManholeType_A_for_RCP60" localSheetId="1">[17]ค่างานต้นทุนต่อหน่วย!#REF!</definedName>
    <definedName name="ManholeType_A_for_RCP60" localSheetId="30">[17]ค่างานต้นทุนต่อหน่วย!#REF!</definedName>
    <definedName name="ManholeType_A_for_RCP60">'[19]Cost Estimate'!#REF!</definedName>
    <definedName name="ManholeType_B_for_Cross100" localSheetId="1">[17]ค่างานต้นทุนต่อหน่วย!#REF!</definedName>
    <definedName name="ManholeType_B_for_Cross100" localSheetId="30">[17]ค่างานต้นทุนต่อหน่วย!#REF!</definedName>
    <definedName name="ManholeType_B_for_Cross100">'[19]Cost Estimate'!#REF!</definedName>
    <definedName name="ManholeType_B_for_Cross120" localSheetId="1">[17]ค่างานต้นทุนต่อหน่วย!#REF!</definedName>
    <definedName name="ManholeType_B_for_Cross120" localSheetId="30">[17]ค่างานต้นทุนต่อหน่วย!#REF!</definedName>
    <definedName name="ManholeType_B_for_Cross120">'[19]Cost Estimate'!#REF!</definedName>
    <definedName name="ManholeType_B_for_Cross60" localSheetId="1">[17]ค่างานต้นทุนต่อหน่วย!#REF!</definedName>
    <definedName name="ManholeType_B_for_Cross60" localSheetId="30">[17]ค่างานต้นทุนต่อหน่วย!#REF!</definedName>
    <definedName name="ManholeType_B_for_Cross60">'[19]Cost Estimate'!#REF!</definedName>
    <definedName name="ManholeType_B_for_Cross80" localSheetId="1">[17]ค่างานต้นทุนต่อหน่วย!#REF!</definedName>
    <definedName name="ManholeType_B_for_Cross80" localSheetId="30">[17]ค่างานต้นทุนต่อหน่วย!#REF!</definedName>
    <definedName name="ManholeType_B_for_Cross80">'[19]Cost Estimate'!#REF!</definedName>
    <definedName name="ManholeType_BB_for_Cross100" localSheetId="1">[17]ค่างานต้นทุนต่อหน่วย!#REF!</definedName>
    <definedName name="ManholeType_BB_for_Cross100" localSheetId="30">[17]ค่างานต้นทุนต่อหน่วย!#REF!</definedName>
    <definedName name="ManholeType_BB_for_Cross100">'[19]Cost Estimate'!#REF!</definedName>
    <definedName name="ManholeType_BB_for_Cross120" localSheetId="1">[17]ค่างานต้นทุนต่อหน่วย!#REF!</definedName>
    <definedName name="ManholeType_BB_for_Cross120" localSheetId="30">[17]ค่างานต้นทุนต่อหน่วย!#REF!</definedName>
    <definedName name="ManholeType_BB_for_Cross120">'[19]Cost Estimate'!#REF!</definedName>
    <definedName name="ManholeType_BB_for_Cross60" localSheetId="1">[17]ค่างานต้นทุนต่อหน่วย!#REF!</definedName>
    <definedName name="ManholeType_BB_for_Cross60" localSheetId="30">[17]ค่างานต้นทุนต่อหน่วย!#REF!</definedName>
    <definedName name="ManholeType_BB_for_Cross60">'[19]Cost Estimate'!#REF!</definedName>
    <definedName name="ManholeType_BB_for_Cross80" localSheetId="1">[17]ค่างานต้นทุนต่อหน่วย!#REF!</definedName>
    <definedName name="ManholeType_BB_for_Cross80" localSheetId="30">[17]ค่างานต้นทุนต่อหน่วย!#REF!</definedName>
    <definedName name="ManholeType_BB_for_Cross80">'[19]Cost Estimate'!#REF!</definedName>
    <definedName name="ManholeType_C_100" localSheetId="1">[17]ค่างานต้นทุนต่อหน่วย!#REF!</definedName>
    <definedName name="ManholeType_C_100" localSheetId="30">[17]ค่างานต้นทุนต่อหน่วย!#REF!</definedName>
    <definedName name="ManholeType_C_100">'[19]Cost Estimate'!#REF!</definedName>
    <definedName name="ManholeType_C_120" localSheetId="1">[17]ค่างานต้นทุนต่อหน่วย!#REF!</definedName>
    <definedName name="ManholeType_C_120" localSheetId="30">[17]ค่างานต้นทุนต่อหน่วย!#REF!</definedName>
    <definedName name="ManholeType_C_120">'[19]Cost Estimate'!#REF!</definedName>
    <definedName name="ManholeType_D_100_Conc" localSheetId="1">[17]ค่างานต้นทุนต่อหน่วย!#REF!</definedName>
    <definedName name="ManholeType_D_100_Conc" localSheetId="30">[17]ค่างานต้นทุนต่อหน่วย!#REF!</definedName>
    <definedName name="ManholeType_D_100_Conc">'[19]Cost Estimate'!#REF!</definedName>
    <definedName name="ManholeType_D_100_Steel" localSheetId="1">[17]ค่างานต้นทุนต่อหน่วย!#REF!</definedName>
    <definedName name="ManholeType_D_100_Steel" localSheetId="30">[17]ค่างานต้นทุนต่อหน่วย!#REF!</definedName>
    <definedName name="ManholeType_D_100_Steel">'[19]Cost Estimate'!#REF!</definedName>
    <definedName name="ManholeType_D_120_Conc" localSheetId="1">[17]ค่างานต้นทุนต่อหน่วย!#REF!</definedName>
    <definedName name="ManholeType_D_120_Conc" localSheetId="30">[17]ค่างานต้นทุนต่อหน่วย!#REF!</definedName>
    <definedName name="ManholeType_D_120_Conc">'[19]Cost Estimate'!#REF!</definedName>
    <definedName name="ManholeType_D_120_Steel" localSheetId="1">[17]ค่างานต้นทุนต่อหน่วย!#REF!</definedName>
    <definedName name="ManholeType_D_120_Steel" localSheetId="30">[17]ค่างานต้นทุนต่อหน่วย!#REF!</definedName>
    <definedName name="ManholeType_D_120_Steel">'[19]Cost Estimate'!#REF!</definedName>
    <definedName name="ManholeType_D_60_Conc" localSheetId="1">[17]ค่างานต้นทุนต่อหน่วย!#REF!</definedName>
    <definedName name="ManholeType_D_60_Conc" localSheetId="30">[17]ค่างานต้นทุนต่อหน่วย!#REF!</definedName>
    <definedName name="ManholeType_D_60_Conc">'[19]Cost Estimate'!#REF!</definedName>
    <definedName name="ManholeType_D_60_Steel" localSheetId="1">[17]ค่างานต้นทุนต่อหน่วย!#REF!</definedName>
    <definedName name="ManholeType_D_60_Steel" localSheetId="30">[17]ค่างานต้นทุนต่อหน่วย!#REF!</definedName>
    <definedName name="ManholeType_D_60_Steel">'[19]Cost Estimate'!#REF!</definedName>
    <definedName name="ManholeType_D_80_Conc" localSheetId="1">[17]ค่างานต้นทุนต่อหน่วย!#REF!</definedName>
    <definedName name="ManholeType_D_80_Conc" localSheetId="30">[17]ค่างานต้นทุนต่อหน่วย!#REF!</definedName>
    <definedName name="ManholeType_D_80_Conc">'[19]Cost Estimate'!#REF!</definedName>
    <definedName name="ManholeType_D_80_Steel" localSheetId="1">[17]ค่างานต้นทุนต่อหน่วย!#REF!</definedName>
    <definedName name="ManholeType_D_80_Steel" localSheetId="30">[17]ค่างานต้นทุนต่อหน่วย!#REF!</definedName>
    <definedName name="ManholeType_D_80_Steel">'[19]Cost Estimate'!#REF!</definedName>
    <definedName name="ManholeType_E" localSheetId="1">[17]ค่างานต้นทุนต่อหน่วย!#REF!</definedName>
    <definedName name="ManholeType_E" localSheetId="30">[17]ค่างานต้นทุนต่อหน่วย!#REF!</definedName>
    <definedName name="ManholeType_E">'[19]Cost Estimate'!#REF!</definedName>
    <definedName name="ManholeType_F" localSheetId="1">[17]ค่างานต้นทุนต่อหน่วย!#REF!</definedName>
    <definedName name="ManholeType_F" localSheetId="30">[17]ค่างานต้นทุนต่อหน่วย!#REF!</definedName>
    <definedName name="ManholeType_F">'[19]Cost Estimate'!#REF!</definedName>
    <definedName name="MarkingType" localSheetId="1">[8]Sheet1!$A$190</definedName>
    <definedName name="MarkingType" localSheetId="30">[8]Sheet1!$A$190</definedName>
    <definedName name="MarkingType">[4]Form1!$A$184</definedName>
    <definedName name="mc" localSheetId="0">#REF!</definedName>
    <definedName name="mc" localSheetId="1">#REF!</definedName>
    <definedName name="mc" localSheetId="30">#REF!</definedName>
    <definedName name="mc" localSheetId="14">#REF!</definedName>
    <definedName name="mc" localSheetId="16">#REF!</definedName>
    <definedName name="mc" localSheetId="7">#REF!</definedName>
    <definedName name="mc" localSheetId="8">#REF!</definedName>
    <definedName name="mc" localSheetId="9">#REF!</definedName>
    <definedName name="mc" localSheetId="10">#REF!</definedName>
    <definedName name="mc" localSheetId="19">#REF!</definedName>
    <definedName name="mc" localSheetId="20">#REF!</definedName>
    <definedName name="mc" localSheetId="6">#REF!</definedName>
    <definedName name="mc" localSheetId="11">#REF!</definedName>
    <definedName name="mc" localSheetId="12">#REF!</definedName>
    <definedName name="mc" localSheetId="13">#REF!</definedName>
    <definedName name="mc">#REF!</definedName>
    <definedName name="Median_Drop_Inets_Type_I100" localSheetId="1">[17]ค่างานต้นทุนต่อหน่วย!#REF!</definedName>
    <definedName name="Median_Drop_Inets_Type_I100" localSheetId="30">[17]ค่างานต้นทุนต่อหน่วย!#REF!</definedName>
    <definedName name="Median_Drop_Inets_Type_I100">'[19]Cost Estimate'!#REF!</definedName>
    <definedName name="Median_Drop_Inets_Type_I120" localSheetId="1">[17]ค่างานต้นทุนต่อหน่วย!#REF!</definedName>
    <definedName name="Median_Drop_Inets_Type_I120" localSheetId="30">[17]ค่างานต้นทุนต่อหน่วย!#REF!</definedName>
    <definedName name="Median_Drop_Inets_Type_I120">'[19]Cost Estimate'!#REF!</definedName>
    <definedName name="Median_Drop_Inets_Type_I40" localSheetId="1">[17]ค่างานต้นทุนต่อหน่วย!#REF!</definedName>
    <definedName name="Median_Drop_Inets_Type_I40" localSheetId="30">[17]ค่างานต้นทุนต่อหน่วย!#REF!</definedName>
    <definedName name="Median_Drop_Inets_Type_I40">'[19]Cost Estimate'!#REF!</definedName>
    <definedName name="Median_Drop_Inets_Type_I60" localSheetId="1">[17]ค่างานต้นทุนต่อหน่วย!#REF!</definedName>
    <definedName name="Median_Drop_Inets_Type_I60" localSheetId="30">[17]ค่างานต้นทุนต่อหน่วย!#REF!</definedName>
    <definedName name="Median_Drop_Inets_Type_I60">'[19]Cost Estimate'!#REF!</definedName>
    <definedName name="Median_Drop_Inets_Type_I80" localSheetId="1">[17]ค่างานต้นทุนต่อหน่วย!#REF!</definedName>
    <definedName name="Median_Drop_Inets_Type_I80" localSheetId="30">[17]ค่างานต้นทุนต่อหน่วย!#REF!</definedName>
    <definedName name="Median_Drop_Inets_Type_I80">'[19]Cost Estimate'!#REF!</definedName>
    <definedName name="Median_Drop_Inets_Type_II100" localSheetId="1">[17]ค่างานต้นทุนต่อหน่วย!#REF!</definedName>
    <definedName name="Median_Drop_Inets_Type_II100" localSheetId="30">[17]ค่างานต้นทุนต่อหน่วย!#REF!</definedName>
    <definedName name="Median_Drop_Inets_Type_II100">'[19]Cost Estimate'!#REF!</definedName>
    <definedName name="Median_Drop_Inets_Type_II120" localSheetId="1">[17]ค่างานต้นทุนต่อหน่วย!#REF!</definedName>
    <definedName name="Median_Drop_Inets_Type_II120" localSheetId="30">[17]ค่างานต้นทุนต่อหน่วย!#REF!</definedName>
    <definedName name="Median_Drop_Inets_Type_II120">'[19]Cost Estimate'!#REF!</definedName>
    <definedName name="Median_Drop_Inets_Type_II40" localSheetId="1">[17]ค่างานต้นทุนต่อหน่วย!#REF!</definedName>
    <definedName name="Median_Drop_Inets_Type_II40" localSheetId="30">[17]ค่างานต้นทุนต่อหน่วย!#REF!</definedName>
    <definedName name="Median_Drop_Inets_Type_II40">'[19]Cost Estimate'!#REF!</definedName>
    <definedName name="Median_Drop_Inets_Type_II60" localSheetId="1">[17]ค่างานต้นทุนต่อหน่วย!#REF!</definedName>
    <definedName name="Median_Drop_Inets_Type_II60" localSheetId="30">[17]ค่างานต้นทุนต่อหน่วย!#REF!</definedName>
    <definedName name="Median_Drop_Inets_Type_II60">'[19]Cost Estimate'!#REF!</definedName>
    <definedName name="Median_Drop_Inets_Type_II80" localSheetId="1">[17]ค่างานต้นทุนต่อหน่วย!#REF!</definedName>
    <definedName name="Median_Drop_Inets_Type_II80" localSheetId="30">[17]ค่างานต้นทุนต่อหน่วย!#REF!</definedName>
    <definedName name="Median_Drop_Inets_Type_II80">'[19]Cost Estimate'!#REF!</definedName>
    <definedName name="Milling_10cm" localSheetId="0">#REF!</definedName>
    <definedName name="Milling_10cm" localSheetId="1">[17]ค่างานต้นทุนต่อหน่วย!#REF!</definedName>
    <definedName name="Milling_10cm" localSheetId="30">[17]ค่างานต้นทุนต่อหน่วย!#REF!</definedName>
    <definedName name="Milling_10cm" localSheetId="14">#REF!</definedName>
    <definedName name="Milling_10cm" localSheetId="16">#REF!</definedName>
    <definedName name="Milling_10cm" localSheetId="7">#REF!</definedName>
    <definedName name="Milling_10cm" localSheetId="8">#REF!</definedName>
    <definedName name="Milling_10cm" localSheetId="9">#REF!</definedName>
    <definedName name="Milling_10cm" localSheetId="10">#REF!</definedName>
    <definedName name="Milling_10cm" localSheetId="19">#REF!</definedName>
    <definedName name="Milling_10cm" localSheetId="20">#REF!</definedName>
    <definedName name="Milling_10cm" localSheetId="6">#REF!</definedName>
    <definedName name="Milling_10cm" localSheetId="11">#REF!</definedName>
    <definedName name="Milling_10cm" localSheetId="12">#REF!</definedName>
    <definedName name="Milling_10cm" localSheetId="13">#REF!</definedName>
    <definedName name="Milling_10cm">#REF!</definedName>
    <definedName name="Milling_5cm" localSheetId="0">#REF!</definedName>
    <definedName name="Milling_5cm" localSheetId="1">[17]ค่างานต้นทุนต่อหน่วย!#REF!</definedName>
    <definedName name="Milling_5cm" localSheetId="30">[17]ค่างานต้นทุนต่อหน่วย!#REF!</definedName>
    <definedName name="Milling_5cm" localSheetId="14">#REF!</definedName>
    <definedName name="Milling_5cm" localSheetId="16">#REF!</definedName>
    <definedName name="Milling_5cm" localSheetId="7">#REF!</definedName>
    <definedName name="Milling_5cm" localSheetId="8">#REF!</definedName>
    <definedName name="Milling_5cm" localSheetId="9">#REF!</definedName>
    <definedName name="Milling_5cm" localSheetId="10">#REF!</definedName>
    <definedName name="Milling_5cm" localSheetId="19">#REF!</definedName>
    <definedName name="Milling_5cm" localSheetId="20">#REF!</definedName>
    <definedName name="Milling_5cm" localSheetId="6">#REF!</definedName>
    <definedName name="Milling_5cm" localSheetId="11">#REF!</definedName>
    <definedName name="Milling_5cm" localSheetId="12">#REF!</definedName>
    <definedName name="Milling_5cm" localSheetId="13">#REF!</definedName>
    <definedName name="Milling_5cm">#REF!</definedName>
    <definedName name="MixType" localSheetId="1">[8]Sheet1!$A$46</definedName>
    <definedName name="MixType" localSheetId="30">[8]Sheet1!$A$46</definedName>
    <definedName name="MixType">[4]Form1!$A$41</definedName>
    <definedName name="ML">[9]ค่าขนส่ง!$AE$24</definedName>
    <definedName name="mla">[20]หกล้อขนส่ง!$AG$23</definedName>
    <definedName name="mm" localSheetId="1">#REF!</definedName>
    <definedName name="mm" localSheetId="30">#REF!</definedName>
    <definedName name="ModificationManholeC" localSheetId="1">[17]ค่างานต้นทุนต่อหน่วย!#REF!</definedName>
    <definedName name="ModificationManholeC" localSheetId="30">[17]ค่างานต้นทุนต่อหน่วย!#REF!</definedName>
    <definedName name="ModificationManholeC">'[19]Cost Estimate'!#REF!</definedName>
    <definedName name="ModificationManholeS" localSheetId="1">[17]ค่างานต้นทุนต่อหน่วย!#REF!</definedName>
    <definedName name="ModificationManholeS" localSheetId="30">[17]ค่างานต้นทุนต่อหน่วย!#REF!</definedName>
    <definedName name="ModificationManholeS">'[19]Cost Estimate'!#REF!</definedName>
    <definedName name="Modified_AC" localSheetId="1">[17]ค่างานต้นทุนต่อหน่วย!#REF!</definedName>
    <definedName name="Modified_AC" localSheetId="30">[17]ค่างานต้นทุนต่อหน่วย!#REF!</definedName>
    <definedName name="Modified_AC">'[19]Cost Estimate'!#REF!</definedName>
    <definedName name="Modified_AC1" localSheetId="1">[17]ค่างานต้นทุนต่อหน่วย!#REF!</definedName>
    <definedName name="Modified_AC1" localSheetId="30">[17]ค่างานต้นทุนต่อหน่วย!#REF!</definedName>
    <definedName name="Modified_AC1">'[19]Cost Estimate'!#REF!</definedName>
    <definedName name="Motar" localSheetId="1">[23]หมวดโครงสร้าง!$P$83</definedName>
    <definedName name="Motar" localSheetId="30">[23]หมวดโครงสร้าง!$P$83</definedName>
    <definedName name="Motar">[24]หมวดโครงสร้าง!$P$83</definedName>
    <definedName name="Mountable_Curb" localSheetId="1">[17]ค่างานต้นทุนต่อหน่วย!#REF!</definedName>
    <definedName name="Mountable_Curb" localSheetId="30">[17]ค่างานต้นทุนต่อหน่วย!#REF!</definedName>
    <definedName name="Mountable_Curb">'[19]Cost Estimate'!#REF!</definedName>
    <definedName name="Mountable_Curb_Gutter" localSheetId="1">[17]ค่างานต้นทุนต่อหน่วย!#REF!</definedName>
    <definedName name="Mountable_Curb_Gutter" localSheetId="30">[17]ค่างานต้นทุนต่อหน่วย!#REF!</definedName>
    <definedName name="Mountable_Curb_Gutter">'[19]Cost Estimate'!#REF!</definedName>
    <definedName name="N.G.L." localSheetId="1">'[31]Cal Fto'!#REF!</definedName>
    <definedName name="N.G.L." localSheetId="30">'[31]Cal Fto'!#REF!</definedName>
    <definedName name="NGL" localSheetId="1">#REF!</definedName>
    <definedName name="NGL" localSheetId="30">#REF!</definedName>
    <definedName name="nnn" localSheetId="1">#REF!</definedName>
    <definedName name="nnn" localSheetId="30">#REF!</definedName>
    <definedName name="no_box">[47]Worksheet!$L$8</definedName>
    <definedName name="no_cell" localSheetId="0">#REF!</definedName>
    <definedName name="no_cell" localSheetId="1">#REF!</definedName>
    <definedName name="no_cell" localSheetId="30">#REF!</definedName>
    <definedName name="no_cell" localSheetId="14">#REF!</definedName>
    <definedName name="no_cell" localSheetId="16">#REF!</definedName>
    <definedName name="no_cell" localSheetId="7">#REF!</definedName>
    <definedName name="no_cell" localSheetId="8">#REF!</definedName>
    <definedName name="no_cell" localSheetId="9">#REF!</definedName>
    <definedName name="no_cell" localSheetId="10">#REF!</definedName>
    <definedName name="no_cell" localSheetId="19">#REF!</definedName>
    <definedName name="no_cell" localSheetId="20">#REF!</definedName>
    <definedName name="no_cell" localSheetId="6">#REF!</definedName>
    <definedName name="no_cell" localSheetId="11">#REF!</definedName>
    <definedName name="no_cell" localSheetId="12">#REF!</definedName>
    <definedName name="no_cell" localSheetId="13">#REF!</definedName>
    <definedName name="no_cell">#REF!</definedName>
    <definedName name="no_head" localSheetId="0">#REF!</definedName>
    <definedName name="no_head" localSheetId="1">#REF!</definedName>
    <definedName name="no_head" localSheetId="30">#REF!</definedName>
    <definedName name="no_head" localSheetId="14">#REF!</definedName>
    <definedName name="no_head" localSheetId="16">#REF!</definedName>
    <definedName name="no_head" localSheetId="7">#REF!</definedName>
    <definedName name="no_head" localSheetId="8">#REF!</definedName>
    <definedName name="no_head" localSheetId="9">#REF!</definedName>
    <definedName name="no_head" localSheetId="10">#REF!</definedName>
    <definedName name="no_head" localSheetId="19">#REF!</definedName>
    <definedName name="no_head" localSheetId="20">#REF!</definedName>
    <definedName name="no_head" localSheetId="6">#REF!</definedName>
    <definedName name="no_head" localSheetId="11">#REF!</definedName>
    <definedName name="no_head" localSheetId="12">#REF!</definedName>
    <definedName name="no_head" localSheetId="13">#REF!</definedName>
    <definedName name="no_head">#REF!</definedName>
    <definedName name="no_wall" localSheetId="0">#REF!</definedName>
    <definedName name="no_wall" localSheetId="1">#REF!</definedName>
    <definedName name="no_wall" localSheetId="30">#REF!</definedName>
    <definedName name="no_wall" localSheetId="14">#REF!</definedName>
    <definedName name="no_wall" localSheetId="16">#REF!</definedName>
    <definedName name="no_wall" localSheetId="7">#REF!</definedName>
    <definedName name="no_wall" localSheetId="8">#REF!</definedName>
    <definedName name="no_wall" localSheetId="9">#REF!</definedName>
    <definedName name="no_wall" localSheetId="10">#REF!</definedName>
    <definedName name="no_wall" localSheetId="19">#REF!</definedName>
    <definedName name="no_wall" localSheetId="20">#REF!</definedName>
    <definedName name="no_wall" localSheetId="6">#REF!</definedName>
    <definedName name="no_wall" localSheetId="11">#REF!</definedName>
    <definedName name="no_wall" localSheetId="12">#REF!</definedName>
    <definedName name="no_wall" localSheetId="13">#REF!</definedName>
    <definedName name="no_wall">#REF!</definedName>
    <definedName name="NoPiles100" localSheetId="1">[8]Sheet1!$B$114</definedName>
    <definedName name="NoPiles100" localSheetId="30">[8]Sheet1!$B$114</definedName>
    <definedName name="NoPiles100">[4]Form1!$B$109</definedName>
    <definedName name="NumberAC60\70" localSheetId="1">'[28]ราคาวัสดุที่แหล่ง+ระยะขนส่ง'!#REF!</definedName>
    <definedName name="NumberAC60\70" localSheetId="30">'[28]ราคาวัสดุที่แหล่ง+ระยะขนส่ง'!#REF!</definedName>
    <definedName name="NumberAC60\70">'[19]ราคาวัสดุที่แหล่ง+ระยะขนส่ง'!#REF!</definedName>
    <definedName name="NumberCMS2h" localSheetId="1">'[28]ราคาวัสดุที่แหล่ง+ระยะขนส่ง'!#REF!</definedName>
    <definedName name="NumberCMS2h" localSheetId="30">'[28]ราคาวัสดุที่แหล่ง+ระยะขนส่ง'!#REF!</definedName>
    <definedName name="NumberCMS2h">'[19]ราคาวัสดุที่แหล่ง+ระยะขนส่ง'!#REF!</definedName>
    <definedName name="NumberCRS2" localSheetId="1">'[28]ราคาวัสดุที่แหล่ง+ระยะขนส่ง'!#REF!</definedName>
    <definedName name="NumberCRS2" localSheetId="30">'[28]ราคาวัสดุที่แหล่ง+ระยะขนส่ง'!#REF!</definedName>
    <definedName name="NumberCRS2">'[19]ราคาวัสดุที่แหล่ง+ระยะขนส่ง'!#REF!</definedName>
    <definedName name="NumberCSS1" localSheetId="1">'[28]ราคาวัสดุที่แหล่ง+ระยะขนส่ง'!#REF!</definedName>
    <definedName name="NumberCSS1" localSheetId="30">'[28]ราคาวัสดุที่แหล่ง+ระยะขนส่ง'!#REF!</definedName>
    <definedName name="NumberCSS1">'[19]ราคาวัสดุที่แหล่ง+ระยะขนส่ง'!#REF!</definedName>
    <definedName name="NumberCSS1hN" localSheetId="1">'[28]ราคาวัสดุที่แหล่ง+ระยะขนส่ง'!#REF!</definedName>
    <definedName name="NumberCSS1hN" localSheetId="30">'[28]ราคาวัสดุที่แหล่ง+ระยะขนส่ง'!#REF!</definedName>
    <definedName name="NumberCSS1hN">'[19]ราคาวัสดุที่แหล่ง+ระยะขนส่ง'!#REF!</definedName>
    <definedName name="NumberDB25" localSheetId="1">'[28]ราคาวัสดุที่แหล่ง+ระยะขนส่ง'!#REF!</definedName>
    <definedName name="NumberDB25" localSheetId="30">'[28]ราคาวัสดุที่แหล่ง+ระยะขนส่ง'!#REF!</definedName>
    <definedName name="NumberDB25">'[19]ราคาวัสดุที่แหล่ง+ระยะขนส่ง'!#REF!</definedName>
    <definedName name="NumberDustRockAC" localSheetId="1">'[28]ราคาวัสดุที่แหล่ง+ระยะขนส่ง'!#REF!</definedName>
    <definedName name="NumberDustRockAC" localSheetId="30">'[28]ราคาวัสดุที่แหล่ง+ระยะขนส่ง'!#REF!</definedName>
    <definedName name="NumberDustRockAC">'[19]ราคาวัสดุที่แหล่ง+ระยะขนส่ง'!#REF!</definedName>
    <definedName name="NumberFW1" localSheetId="1">'[28]ราคาวัสดุที่แหล่ง+ระยะขนส่ง'!#REF!</definedName>
    <definedName name="NumberFW1" localSheetId="30">'[28]ราคาวัสดุที่แหล่ง+ระยะขนส่ง'!#REF!</definedName>
    <definedName name="NumberFW1">'[19]ราคาวัสดุที่แหล่ง+ระยะขนส่ง'!#REF!</definedName>
    <definedName name="NumberFW2" localSheetId="1">'[28]ราคาวัสดุที่แหล่ง+ระยะขนส่ง'!#REF!</definedName>
    <definedName name="NumberFW2" localSheetId="30">'[28]ราคาวัสดุที่แหล่ง+ระยะขนส่ง'!#REF!</definedName>
    <definedName name="NumberFW2">'[19]ราคาวัสดุที่แหล่ง+ระยะขนส่ง'!#REF!</definedName>
    <definedName name="NumberFW3" localSheetId="1">'[28]ราคาวัสดุที่แหล่ง+ระยะขนส่ง'!#REF!</definedName>
    <definedName name="NumberFW3" localSheetId="30">'[28]ราคาวัสดุที่แหล่ง+ระยะขนส่ง'!#REF!</definedName>
    <definedName name="NumberFW3">'[19]ราคาวัสดุที่แหล่ง+ระยะขนส่ง'!#REF!</definedName>
    <definedName name="NumberGravelConc" localSheetId="1">'[28]ราคาวัสดุที่แหล่ง+ระยะขนส่ง'!#REF!</definedName>
    <definedName name="NumberGravelConc" localSheetId="30">'[28]ราคาวัสดุที่แหล่ง+ระยะขนส่ง'!#REF!</definedName>
    <definedName name="NumberGravelConc">'[19]ราคาวัสดุที่แหล่ง+ระยะขนส่ง'!#REF!</definedName>
    <definedName name="NumberMC70" localSheetId="1">'[28]ราคาวัสดุที่แหล่ง+ระยะขนส่ง'!#REF!</definedName>
    <definedName name="NumberMC70" localSheetId="30">'[28]ราคาวัสดุที่แหล่ง+ระยะขนส่ง'!#REF!</definedName>
    <definedName name="NumberMC70">'[19]ราคาวัสดุที่แหล่ง+ระยะขนส่ง'!#REF!</definedName>
    <definedName name="NumberPMA" localSheetId="1">'[28]ราคาวัสดุที่แหล่ง+ระยะขนส่ง'!#REF!</definedName>
    <definedName name="NumberPMA" localSheetId="30">'[28]ราคาวัสดุที่แหล่ง+ระยะขนส่ง'!#REF!</definedName>
    <definedName name="NumberPMA">'[19]ราคาวัสดุที่แหล่ง+ระยะขนส่ง'!#REF!</definedName>
    <definedName name="NumberRockAC" localSheetId="1">'[28]ราคาวัสดุที่แหล่ง+ระยะขนส่ง'!#REF!</definedName>
    <definedName name="NumberRockAC" localSheetId="30">'[28]ราคาวัสดุที่แหล่ง+ระยะขนส่ง'!#REF!</definedName>
    <definedName name="NumberRockAC">'[19]ราคาวัสดุที่แหล่ง+ระยะขนส่ง'!#REF!</definedName>
    <definedName name="oil" localSheetId="29">[48]Oil!$B$5:$G$1006</definedName>
    <definedName name="oil">[49]Oil!$B$5:$G$1006</definedName>
    <definedName name="OILprice" localSheetId="1">[8]Sheet1!$DO$7</definedName>
    <definedName name="OILprice" localSheetId="30">[8]Sheet1!$DO$7</definedName>
    <definedName name="OILprice">[4]Form1!$DD$7</definedName>
    <definedName name="Oขุดรื้อบดทับ_AC" localSheetId="0">[50]ค่าขนส่งและเสื่อมราคา!$Q$38</definedName>
    <definedName name="Oขุดรื้อบดทับ_AC" localSheetId="1">[51]ค่าขนส่งดำเนินการเสื่อมราคา!$Q$38</definedName>
    <definedName name="Oขุดรื้อบดทับ_AC" localSheetId="30">[51]ค่าขนส่งดำเนินการเสื่อมราคา!$Q$38</definedName>
    <definedName name="Oขุดรื้อบดทับ_AC" localSheetId="11">[52]ค่าขนส่งและเสื่อมราคา!$Q$38</definedName>
    <definedName name="Oขุดรื้อบดทับ_AC">[53]ค่าขนส่งและเสื่อมราคา!$Q$38</definedName>
    <definedName name="Oขุดรื้อบดทับ_ลูกรัง" localSheetId="0">[50]ค่าขนส่งและเสื่อมราคา!$Q$36</definedName>
    <definedName name="Oขุดรื้อบดทับ_ลูกรัง" localSheetId="1">[51]ค่าขนส่งดำเนินการเสื่อมราคา!$Q$36</definedName>
    <definedName name="Oขุดรื้อบดทับ_ลูกรัง" localSheetId="30">[51]ค่าขนส่งดำเนินการเสื่อมราคา!$Q$36</definedName>
    <definedName name="Oขุดรื้อบดทับ_ลูกรัง" localSheetId="11">[52]ค่าขนส่งและเสื่อมราคา!$Q$36</definedName>
    <definedName name="Oขุดรื้อบดทับ_ลูกรัง">[53]ค่าขนส่งและเสื่อมราคา!$Q$36</definedName>
    <definedName name="Oขุดรื้อบดทับ_หินคลุก" localSheetId="0">[50]ค่าขนส่งและเสื่อมราคา!$Q$37</definedName>
    <definedName name="Oขุดรื้อบดทับ_หินคลุก" localSheetId="1">[51]ค่าขนส่งดำเนินการเสื่อมราคา!$Q$37</definedName>
    <definedName name="Oขุดรื้อบดทับ_หินคลุก" localSheetId="30">[51]ค่าขนส่งดำเนินการเสื่อมราคา!$Q$37</definedName>
    <definedName name="Oขุดรื้อบดทับ_หินคลุก" localSheetId="11">[52]ค่าขนส่งและเสื่อมราคา!$Q$37</definedName>
    <definedName name="Oขุดรื้อบดทับ_หินคลุก">[53]ค่าขนส่งและเสื่อมราคา!$Q$37</definedName>
    <definedName name="Oค่าขนส่งคอนกรีต" localSheetId="0">[50]ค่าขนส่งและเสื่อมราคา!$Q$61</definedName>
    <definedName name="Oค่าขนส่งคอนกรีต" localSheetId="1">[54]ค่าเสื่อมราคาและค่าขนส่ง!$Q$61</definedName>
    <definedName name="Oค่าขนส่งคอนกรีต" localSheetId="30">[54]ค่าเสื่อมราคาและค่าขนส่ง!$Q$61</definedName>
    <definedName name="Oค่าขนส่งคอนกรีต" localSheetId="11">[52]ค่าขนส่งและเสื่อมราคา!$Q$61</definedName>
    <definedName name="Oค่าขนส่งคอนกรีต">[53]ค่าขนส่งและเสื่อมราคา!$Q$61</definedName>
    <definedName name="Oค่าตัดรอยต่อและหยอดยาง" localSheetId="0">[50]ค่าขนส่งและเสื่อมราคา!$Q$64</definedName>
    <definedName name="Oค่าตัดรอยต่อและหยอดยาง" localSheetId="1">[54]ค่าเสื่อมราคาและค่าขนส่ง!$Q$64</definedName>
    <definedName name="Oค่าตัดรอยต่อและหยอดยาง" localSheetId="30">[54]ค่าเสื่อมราคาและค่าขนส่ง!$Q$64</definedName>
    <definedName name="Oค่าตัดรอยต่อและหยอดยาง" localSheetId="11">[52]ค่าขนส่งและเสื่อมราคา!$Q$64</definedName>
    <definedName name="Oค่าตัดรอยต่อและหยอดยาง">[53]ค่าขนส่งและเสื่อมราคา!$Q$64</definedName>
    <definedName name="Oค่าบ่มผิวทาง" localSheetId="0">[50]ค่าขนส่งและเสื่อมราคา!$Q$66</definedName>
    <definedName name="Oค่าบ่มผิวทาง" localSheetId="1">[51]ค่าขนส่งดำเนินการเสื่อมราคา!$Q$66</definedName>
    <definedName name="Oค่าบ่มผิวทาง" localSheetId="30">[51]ค่าขนส่งดำเนินการเสื่อมราคา!$Q$66</definedName>
    <definedName name="Oค่าบ่มผิวทาง" localSheetId="11">[52]ค่าขนส่งและเสื่อมราคา!$Q$66</definedName>
    <definedName name="Oค่าบ่มผิวทาง">[53]ค่าขนส่งและเสื่อมราคา!$Q$66</definedName>
    <definedName name="Oค่าแบบข้างตามยาว" localSheetId="0">[50]ค่าขนส่งและเสื่อมราคา!$Q$62</definedName>
    <definedName name="Oค่าแบบข้างตามยาว" localSheetId="1">[51]ค่าขนส่งดำเนินการเสื่อมราคา!$Q$62</definedName>
    <definedName name="Oค่าแบบข้างตามยาว" localSheetId="30">[51]ค่าขนส่งดำเนินการเสื่อมราคา!$Q$62</definedName>
    <definedName name="Oค่าแบบข้างตามยาว" localSheetId="11">[52]ค่าขนส่งและเสื่อมราคา!$Q$62</definedName>
    <definedName name="Oค่าแบบข้างตามยาว">[53]ค่าขนส่งและเสื่อมราคา!$Q$62</definedName>
    <definedName name="Oค่าปูผิวคอนกรีต" localSheetId="0">[50]ค่าขนส่งและเสื่อมราคา!$Q$63</definedName>
    <definedName name="Oค่าปูผิวคอนกรีต" localSheetId="1">[51]ค่าขนส่งดำเนินการเสื่อมราคา!$Q$63</definedName>
    <definedName name="Oค่าปูผิวคอนกรีต" localSheetId="30">[51]ค่าขนส่งดำเนินการเสื่อมราคา!$Q$63</definedName>
    <definedName name="Oค่าปูผิวคอนกรีต" localSheetId="11">[52]ค่าขนส่งและเสื่อมราคา!$Q$63</definedName>
    <definedName name="Oค่าปูผิวคอนกรีต">[53]ค่าขนส่งและเสื่อมราคา!$Q$63</definedName>
    <definedName name="Oค่าผสมคอนกรีต" localSheetId="0">[50]ค่าขนส่งและเสื่อมราคา!$Q$60</definedName>
    <definedName name="Oค่าผสมคอนกรีต" localSheetId="1">[51]ค่าขนส่งดำเนินการเสื่อมราคา!$Q$60</definedName>
    <definedName name="Oค่าผสมคอนกรีต" localSheetId="30">[51]ค่าขนส่งดำเนินการเสื่อมราคา!$Q$60</definedName>
    <definedName name="Oค่าผสมคอนกรีต" localSheetId="11">[52]ค่าขนส่งและเสื่อมราคา!$Q$60</definedName>
    <definedName name="Oค่าผสมคอนกรีต">[53]ค่าขนส่งและเสื่อมราคา!$Q$60</definedName>
    <definedName name="Oค่าหยอดยางรอยต่อคอนกรีต" localSheetId="0">[50]ค่าขนส่งและเสื่อมราคา!$Q$65</definedName>
    <definedName name="Oค่าหยอดยางรอยต่อคอนกรีต" localSheetId="1">'[55]4.ค่าขนส่งดำเนินการเสื่อมราคา'!$Q$65</definedName>
    <definedName name="Oค่าหยอดยางรอยต่อคอนกรีต" localSheetId="30">'[55]4.ค่าขนส่งดำเนินการเสื่อมราคา'!$Q$65</definedName>
    <definedName name="Oค่าหยอดยางรอยต่อคอนกรีต" localSheetId="11">[52]ค่าขนส่งและเสื่อมราคา!$Q$65</definedName>
    <definedName name="Oค่าหยอดยางรอยต่อคอนกรีต">[53]ค่าขนส่งและเสื่อมราคา!$Q$65</definedName>
    <definedName name="Oดิน_ขุดขน" localSheetId="0">[50]ค่าขนส่งและเสื่อมราคา!$Q$15</definedName>
    <definedName name="Oดิน_ขุดขน" localSheetId="1">[51]ค่าขนส่งดำเนินการเสื่อมราคา!$Q$15</definedName>
    <definedName name="Oดิน_ขุดขน" localSheetId="30">[51]ค่าขนส่งดำเนินการเสื่อมราคา!$Q$15</definedName>
    <definedName name="Oดิน_ขุดขน" localSheetId="11">[52]ค่าขนส่งและเสื่อมราคา!$Q$15</definedName>
    <definedName name="Oดิน_ขุดขน">[53]ค่าขนส่งและเสื่อมราคา!$Q$15</definedName>
    <definedName name="Oดิน_ขุดตัด" localSheetId="0">[50]ค่าขนส่งและเสื่อมราคา!$Q$18</definedName>
    <definedName name="Oดิน_ขุดตัด" localSheetId="1">[51]ค่าขนส่งดำเนินการเสื่อมราคา!$Q$18</definedName>
    <definedName name="Oดิน_ขุดตัด" localSheetId="30">[51]ค่าขนส่งดำเนินการเสื่อมราคา!$Q$18</definedName>
    <definedName name="Oดิน_ขุดตัด" localSheetId="11">[52]ค่าขนส่งและเสื่อมราคา!$Q$18</definedName>
    <definedName name="Oดิน_ขุดตัด">[53]ค่าขนส่งและเสื่อมราคา!$Q$18</definedName>
    <definedName name="Oดิน_ตัก" localSheetId="0">[50]ค่าขนส่งและเสื่อมราคา!$Q$19</definedName>
    <definedName name="Oดิน_ตัก" localSheetId="1">[51]ค่าขนส่งดำเนินการเสื่อมราคา!$Q$19</definedName>
    <definedName name="Oดิน_ตัก" localSheetId="30">[51]ค่าขนส่งดำเนินการเสื่อมราคา!$Q$19</definedName>
    <definedName name="Oดิน_ตัก" localSheetId="11">[52]ค่าขนส่งและเสื่อมราคา!$Q$19</definedName>
    <definedName name="Oดิน_ตัก">[53]ค่าขนส่งและเสื่อมราคา!$Q$19</definedName>
    <definedName name="Oดิน_บดทับ" localSheetId="0">[50]ค่าขนส่งและเสื่อมราคา!$Q$16</definedName>
    <definedName name="Oดิน_บดทับ" localSheetId="1">[51]ค่าขนส่งดำเนินการเสื่อมราคา!$Q$16</definedName>
    <definedName name="Oดิน_บดทับ" localSheetId="30">[51]ค่าขนส่งดำเนินการเสื่อมราคา!$Q$16</definedName>
    <definedName name="Oดิน_บดทับ" localSheetId="11">[52]ค่าขนส่งและเสื่อมราคา!$Q$16</definedName>
    <definedName name="Oดิน_บดทับ">[53]ค่าขนส่งและเสื่อมราคา!$Q$16</definedName>
    <definedName name="Oตัดแต่งขั้นบันได" localSheetId="0">[50]ค่าขนส่งและเสื่อมราคา!$Q$34</definedName>
    <definedName name="Oตัดแต่งขั้นบันได" localSheetId="1">[51]ค่าขนส่งดำเนินการเสื่อมราคา!$Q$34</definedName>
    <definedName name="Oตัดแต่งขั้นบันได" localSheetId="30">[51]ค่าขนส่งดำเนินการเสื่อมราคา!$Q$34</definedName>
    <definedName name="Oตัดแต่งขั้นบันได" localSheetId="11">[52]ค่าขนส่งและเสื่อมราคา!$Q$34</definedName>
    <definedName name="Oตัดแต่งขั้นบันได">[53]ค่าขนส่งและเสื่อมราคา!$Q$34</definedName>
    <definedName name="Oถางป่า_กลาง" localSheetId="0">[50]ค่าขนส่งและเสื่อมราคา!$Q$12</definedName>
    <definedName name="Oถางป่า_กลาง" localSheetId="1">[54]ค่าเสื่อมราคาและค่าขนส่ง!$Q$12</definedName>
    <definedName name="Oถางป่า_กลาง" localSheetId="30">[54]ค่าเสื่อมราคาและค่าขนส่ง!$Q$12</definedName>
    <definedName name="Oถางป่า_กลาง" localSheetId="11">[52]ค่าขนส่งและเสื่อมราคา!$Q$12</definedName>
    <definedName name="Oถางป่า_กลาง">[53]ค่าขนส่งและเสื่อมราคา!$Q$12</definedName>
    <definedName name="Oถางป่า_เบา" localSheetId="0">[50]ค่าขนส่งและเสื่อมราคา!$Q$11</definedName>
    <definedName name="Oถางป่า_เบา" localSheetId="1">[51]ค่าขนส่งดำเนินการเสื่อมราคา!$Q$11</definedName>
    <definedName name="Oถางป่า_เบา" localSheetId="30">[51]ค่าขนส่งดำเนินการเสื่อมราคา!$Q$11</definedName>
    <definedName name="Oถางป่า_เบา" localSheetId="11">[52]ค่าขนส่งและเสื่อมราคา!$Q$11</definedName>
    <definedName name="Oถางป่า_เบา">[53]ค่าขนส่งและเสื่อมราคา!$Q$11</definedName>
    <definedName name="Oถางป่า_หนัก" localSheetId="0">[50]ค่าขนส่งและเสื่อมราคา!$Q$13</definedName>
    <definedName name="Oถางป่า_หนัก" localSheetId="1">[54]ค่าเสื่อมราคาและค่าขนส่ง!$Q$13</definedName>
    <definedName name="Oถางป่า_หนัก" localSheetId="30">[54]ค่าเสื่อมราคาและค่าขนส่ง!$Q$13</definedName>
    <definedName name="Oถางป่า_หนัก" localSheetId="11">[52]ค่าขนส่งและเสื่อมราคา!$Q$13</definedName>
    <definedName name="Oถางป่า_หนัก">[53]ค่าขนส่งและเสื่อมราคา!$Q$13</definedName>
    <definedName name="Oแท็คโค๊ต" localSheetId="0">[50]ค่าขนส่งและเสื่อมราคา!$Q$40</definedName>
    <definedName name="Oแท็คโค๊ต" localSheetId="1">[54]ค่าเสื่อมราคาและค่าขนส่ง!$Q$40</definedName>
    <definedName name="Oแท็คโค๊ต" localSheetId="30">[54]ค่าเสื่อมราคาและค่าขนส่ง!$Q$40</definedName>
    <definedName name="Oแท็คโค๊ต" localSheetId="11">[52]ค่าขนส่งและเสื่อมราคา!$Q$40</definedName>
    <definedName name="Oแท็คโค๊ต">[53]ค่าขนส่งและเสื่อมราคา!$Q$40</definedName>
    <definedName name="Oไพรม์โค้ต" localSheetId="0">[50]ค่าขนส่งและเสื่อมราคา!$Q$39</definedName>
    <definedName name="Oไพรม์โค้ต" localSheetId="1">[54]ค่าเสื่อมราคาและค่าขนส่ง!$Q$39</definedName>
    <definedName name="Oไพรม์โค้ต" localSheetId="30">[54]ค่าเสื่อมราคาและค่าขนส่ง!$Q$39</definedName>
    <definedName name="Oไพรม์โค้ต" localSheetId="11">[52]ค่าขนส่งและเสื่อมราคา!$Q$39</definedName>
    <definedName name="Oไพรม์โค้ต">[53]ค่าขนส่งและเสื่อมราคา!$Q$39</definedName>
    <definedName name="Oลูกรังคัดเลือกรองพื้นทาง_ขุดขน" localSheetId="0">[50]ค่าขนส่งและเสื่อมราคา!$Q$25</definedName>
    <definedName name="Oลูกรังคัดเลือกรองพื้นทาง_ขุดขน" localSheetId="1">[51]ค่าขนส่งดำเนินการเสื่อมราคา!$Q$25</definedName>
    <definedName name="Oลูกรังคัดเลือกรองพื้นทาง_ขุดขน" localSheetId="30">[51]ค่าขนส่งดำเนินการเสื่อมราคา!$Q$25</definedName>
    <definedName name="Oลูกรังคัดเลือกรองพื้นทาง_ขุดขน" localSheetId="11">[52]ค่าขนส่งและเสื่อมราคา!$Q$25</definedName>
    <definedName name="Oลูกรังคัดเลือกรองพื้นทาง_ขุดขน">[53]ค่าขนส่งและเสื่อมราคา!$Q$25</definedName>
    <definedName name="Oลูกรังคัดเลือกรองพื้นทาง_บดทับ" localSheetId="0">[50]ค่าขนส่งและเสื่อมราคา!$Q$27</definedName>
    <definedName name="Oลูกรังคัดเลือกรองพื้นทาง_บดทับ" localSheetId="1">[51]ค่าขนส่งดำเนินการเสื่อมราคา!$Q$27</definedName>
    <definedName name="Oลูกรังคัดเลือกรองพื้นทาง_บดทับ" localSheetId="30">[51]ค่าขนส่งดำเนินการเสื่อมราคา!$Q$27</definedName>
    <definedName name="Oลูกรังคัดเลือกรองพื้นทาง_บดทับ" localSheetId="11">[52]ค่าขนส่งและเสื่อมราคา!$Q$27</definedName>
    <definedName name="Oลูกรังคัดเลือกรองพื้นทาง_บดทับ">[53]ค่าขนส่งและเสื่อมราคา!$Q$27</definedName>
    <definedName name="Oลูกรังคัดเลือกรองพื้นทาง_ผสม" localSheetId="0">[50]ค่าขนส่งและเสื่อมราคา!$Q$26</definedName>
    <definedName name="Oลูกรังคัดเลือกรองพื้นทาง_ผสม" localSheetId="1">[54]ค่าเสื่อมราคาและค่าขนส่ง!$Q$26</definedName>
    <definedName name="Oลูกรังคัดเลือกรองพื้นทาง_ผสม" localSheetId="30">[54]ค่าเสื่อมราคาและค่าขนส่ง!$Q$26</definedName>
    <definedName name="Oลูกรังคัดเลือกรองพื้นทาง_ผสม" localSheetId="11">[52]ค่าขนส่งและเสื่อมราคา!$Q$26</definedName>
    <definedName name="Oลูกรังคัดเลือกรองพื้นทาง_ผสม">[53]ค่าขนส่งและเสื่อมราคา!$Q$26</definedName>
    <definedName name="Oหินแข็ง_เจาะระเบิด" localSheetId="0">[50]ค่าขนส่งและเสื่อมราคา!$Q$22</definedName>
    <definedName name="Oหินแข็ง_เจาะระเบิด" localSheetId="1">[54]ค่าเสื่อมราคาและค่าขนส่ง!$Q$22</definedName>
    <definedName name="Oหินแข็ง_เจาะระเบิด" localSheetId="30">[54]ค่าเสื่อมราคาและค่าขนส่ง!$Q$22</definedName>
    <definedName name="Oหินแข็ง_เจาะระเบิด" localSheetId="11">[52]ค่าขนส่งและเสื่อมราคา!$Q$22</definedName>
    <definedName name="Oหินแข็ง_เจาะระเบิด">[53]ค่าขนส่งและเสื่อมราคา!$Q$22</definedName>
    <definedName name="Oหินแข็ง_ดันและตัก" localSheetId="0">[50]ค่าขนส่งและเสื่อมราคา!$Q$23</definedName>
    <definedName name="Oหินแข็ง_ดันและตัก" localSheetId="1">[54]ค่าเสื่อมราคาและค่าขนส่ง!$Q$23</definedName>
    <definedName name="Oหินแข็ง_ดันและตัก" localSheetId="30">[54]ค่าเสื่อมราคาและค่าขนส่ง!$Q$23</definedName>
    <definedName name="Oหินแข็ง_ดันและตัก" localSheetId="11">[52]ค่าขนส่งและเสื่อมราคา!$Q$23</definedName>
    <definedName name="Oหินแข็ง_ดันและตัก">[53]ค่าขนส่งและเสื่อมราคา!$Q$23</definedName>
    <definedName name="Oหินคลุก_บดทับ" localSheetId="0">[50]ค่าขนส่งและเสื่อมราคา!$Q$33</definedName>
    <definedName name="Oหินคลุก_บดทับ" localSheetId="1">[51]ค่าขนส่งดำเนินการเสื่อมราคา!$Q$33</definedName>
    <definedName name="Oหินคลุก_บดทับ" localSheetId="30">[51]ค่าขนส่งดำเนินการเสื่อมราคา!$Q$33</definedName>
    <definedName name="Oหินคลุก_บดทับ" localSheetId="11">[52]ค่าขนส่งและเสื่อมราคา!$Q$33</definedName>
    <definedName name="Oหินคลุก_บดทับ">[53]ค่าขนส่งและเสื่อมราคา!$Q$33</definedName>
    <definedName name="Oหินคลุก_ผสม" localSheetId="0">[50]ค่าขนส่งและเสื่อมราคา!$Q$32</definedName>
    <definedName name="Oหินคลุก_ผสม" localSheetId="1">[51]ค่าขนส่งดำเนินการเสื่อมราคา!$Q$32</definedName>
    <definedName name="Oหินคลุก_ผสม" localSheetId="30">[51]ค่าขนส่งดำเนินการเสื่อมราคา!$Q$32</definedName>
    <definedName name="Oหินคลุก_ผสม" localSheetId="11">[52]ค่าขนส่งและเสื่อมราคา!$Q$32</definedName>
    <definedName name="Oหินคลุก_ผสม">[53]ค่าขนส่งและเสื่อมราคา!$Q$32</definedName>
    <definedName name="Oหินผุ_ขุดตัด" localSheetId="0">[50]ค่าขนส่งและเสื่อมราคา!$Q$20</definedName>
    <definedName name="Oหินผุ_ขุดตัด" localSheetId="1">[54]ค่าเสื่อมราคาและค่าขนส่ง!$Q$20</definedName>
    <definedName name="Oหินผุ_ขุดตัด" localSheetId="30">[54]ค่าเสื่อมราคาและค่าขนส่ง!$Q$20</definedName>
    <definedName name="Oหินผุ_ขุดตัด" localSheetId="11">[52]ค่าขนส่งและเสื่อมราคา!$Q$20</definedName>
    <definedName name="Oหินผุ_ขุดตัด">[53]ค่าขนส่งและเสื่อมราคา!$Q$20</definedName>
    <definedName name="Oหินผุ_ดันและตัก" localSheetId="0">[50]ค่าขนส่งและเสื่อมราคา!$Q$21</definedName>
    <definedName name="Oหินผุ_ดันและตัก" localSheetId="1">[51]ค่าขนส่งดำเนินการเสื่อมราคา!$Q$21</definedName>
    <definedName name="Oหินผุ_ดันและตัก" localSheetId="30">[51]ค่าขนส่งดำเนินการเสื่อมราคา!$Q$21</definedName>
    <definedName name="Oหินผุ_ดันและตัก" localSheetId="11">[52]ค่าขนส่งและเสื่อมราคา!$Q$21</definedName>
    <definedName name="Oหินผุ_ดันและตัก">[53]ค่าขนส่งและเสื่อมราคา!$Q$21</definedName>
    <definedName name="Oไหล่ทางลูกรัง_บดทับ" localSheetId="0">[50]ค่าขนส่งและเสื่อมราคา!$Q$30</definedName>
    <definedName name="Oไหล่ทางลูกรัง_บดทับ" localSheetId="1">[51]ค่าขนส่งดำเนินการเสื่อมราคา!$Q$30</definedName>
    <definedName name="Oไหล่ทางลูกรัง_บดทับ" localSheetId="30">[51]ค่าขนส่งดำเนินการเสื่อมราคา!$Q$30</definedName>
    <definedName name="Oไหล่ทางลูกรัง_บดทับ" localSheetId="11">[52]ค่าขนส่งและเสื่อมราคา!$Q$30</definedName>
    <definedName name="Oไหล่ทางลูกรัง_บดทับ">[53]ค่าขนส่งและเสื่อมราคา!$Q$30</definedName>
    <definedName name="Oไหล่ทางลูกรัง_ผสม" localSheetId="0">[50]ค่าขนส่งและเสื่อมราคา!$Q$29</definedName>
    <definedName name="Oไหล่ทางลูกรัง_ผสม" localSheetId="1">[54]ค่าเสื่อมราคาและค่าขนส่ง!$Q$29</definedName>
    <definedName name="Oไหล่ทางลูกรัง_ผสม" localSheetId="30">[54]ค่าเสื่อมราคาและค่าขนส่ง!$Q$29</definedName>
    <definedName name="Oไหล่ทางลูกรัง_ผสม" localSheetId="11">[52]ค่าขนส่งและเสื่อมราคา!$Q$29</definedName>
    <definedName name="Oไหล่ทางลูกรัง_ผสม">[53]ค่าขนส่งและเสื่อมราคา!$Q$29</definedName>
    <definedName name="P">[9]ค่างานต้นทุน!$H$120</definedName>
    <definedName name="P10จำนวนป้าย">[18]ตารางปริมาณงาน!$M$149</definedName>
    <definedName name="P11จำนวนป้าย">[18]ตารางปริมาณงาน!$M$150</definedName>
    <definedName name="P12จำนวนป้าย">[18]ตารางปริมาณงาน!$M$151</definedName>
    <definedName name="P1จำนวนป้าย">[18]ตารางปริมาณงาน!$E$148</definedName>
    <definedName name="P2จำนวนป้าย">[18]ตารางปริมาณงาน!$E$149</definedName>
    <definedName name="P3จำนวนป้าย">[18]ตารางปริมาณงาน!$E$150</definedName>
    <definedName name="P4จำนวนป้าย">[18]ตารางปริมาณงาน!$E$151</definedName>
    <definedName name="P5จำนวนป้าย">[18]ตารางปริมาณงาน!$I$148</definedName>
    <definedName name="P6จำนวนป้าย">[18]ตารางปริมาณงาน!$I$149</definedName>
    <definedName name="P7จำนวนป้าย">[18]ตารางปริมาณงาน!$I$150</definedName>
    <definedName name="P8จำนวนป้าย">[18]ตารางปริมาณงาน!$I$151</definedName>
    <definedName name="P9จำนวนป้าย">[18]ตารางปริมาณงาน!$M$148</definedName>
    <definedName name="pan" localSheetId="1">#REF!</definedName>
    <definedName name="pan" localSheetId="30">#REF!</definedName>
    <definedName name="ParaSlurry1" localSheetId="1">[17]ค่างานต้นทุนต่อหน่วย!#REF!</definedName>
    <definedName name="ParaSlurry1" localSheetId="30">[17]ค่างานต้นทุนต่อหน่วย!#REF!</definedName>
    <definedName name="ParaSlurry1">'[19]Cost Estimate'!#REF!</definedName>
    <definedName name="ParaSlurry2" localSheetId="1">[17]ค่างานต้นทุนต่อหน่วย!#REF!</definedName>
    <definedName name="ParaSlurry2" localSheetId="30">[17]ค่างานต้นทุนต่อหน่วย!#REF!</definedName>
    <definedName name="ParaSlurry2">'[19]Cost Estimate'!#REF!</definedName>
    <definedName name="ParaSlurry3" localSheetId="1">[17]ค่างานต้นทุนต่อหน่วย!#REF!</definedName>
    <definedName name="ParaSlurry3" localSheetId="30">[17]ค่างานต้นทุนต่อหน่วย!#REF!</definedName>
    <definedName name="ParaSlurry3">'[19]Cost Estimate'!#REF!</definedName>
    <definedName name="pc">[9]ค่างานต้นทุน!$H$96</definedName>
    <definedName name="pd" localSheetId="0">#REF!</definedName>
    <definedName name="pd" localSheetId="1">#REF!</definedName>
    <definedName name="pd" localSheetId="30">#REF!</definedName>
    <definedName name="pd" localSheetId="14">#REF!</definedName>
    <definedName name="pd" localSheetId="16">#REF!</definedName>
    <definedName name="pd" localSheetId="7">#REF!</definedName>
    <definedName name="pd" localSheetId="8">#REF!</definedName>
    <definedName name="pd" localSheetId="9">#REF!</definedName>
    <definedName name="pd" localSheetId="10">#REF!</definedName>
    <definedName name="pd" localSheetId="19">#REF!</definedName>
    <definedName name="pd" localSheetId="20">#REF!</definedName>
    <definedName name="pd" localSheetId="6">#REF!</definedName>
    <definedName name="pd" localSheetId="11">#REF!</definedName>
    <definedName name="pd" localSheetId="12">#REF!</definedName>
    <definedName name="pd" localSheetId="13">#REF!</definedName>
    <definedName name="pd">#REF!</definedName>
    <definedName name="PILE1">[5]วัสดุในเสาเข็มsay!$J$8:$W$26</definedName>
    <definedName name="PILE2">[5]วัสดุในเสาเข็มsay!$J$36:$W$54</definedName>
    <definedName name="PILE3">[5]วัสดุในเสาเข็มsay!$J$68:$W$92</definedName>
    <definedName name="PILE4">[5]วัสดุในเสาเข็มsay!$J$100:$W$124</definedName>
    <definedName name="PILE5">[5]วัสดุในเสาเข็มsay!$J$132:$W$150</definedName>
    <definedName name="PILE6">[5]วัสดุในเสาเข็มsay!$J$164:$W$182</definedName>
    <definedName name="PILE7">[5]วัสดุในเสาเข็มsay!$J$196:$W$220</definedName>
    <definedName name="PILE8">[5]วัสดุในเสาเข็มsay!$J$228:$W$252</definedName>
    <definedName name="PilesRW100" localSheetId="1">[17]ค่างานต้นทุนต่อหน่วย!#REF!</definedName>
    <definedName name="PilesRW100" localSheetId="30">[17]ค่างานต้นทุนต่อหน่วย!#REF!</definedName>
    <definedName name="PilesRW100">'[19]Cost Estimate'!#REF!</definedName>
    <definedName name="PilesRW200" localSheetId="1">[17]ค่างานต้นทุนต่อหน่วย!#REF!</definedName>
    <definedName name="PilesRW200" localSheetId="30">[17]ค่างานต้นทุนต่อหน่วย!#REF!</definedName>
    <definedName name="PilesRW200">'[19]Cost Estimate'!#REF!</definedName>
    <definedName name="PilesRW300" localSheetId="1">[17]ค่างานต้นทุนต่อหน่วย!#REF!</definedName>
    <definedName name="PilesRW300" localSheetId="30">[17]ค่างานต้นทุนต่อหน่วย!#REF!</definedName>
    <definedName name="PilesRW300">'[19]Cost Estimate'!#REF!</definedName>
    <definedName name="PIPE1.2" localSheetId="1">'[44]25-27RC. PIPE(3หน้า)'!#REF!</definedName>
    <definedName name="PIPE1.2" localSheetId="30">'[44]25-27RC. PIPE(3หน้า)'!#REF!</definedName>
    <definedName name="PIPE1.2">'[45]25-27RC. PIPE(3หน้า)'!#REF!</definedName>
    <definedName name="PIPE1.5" localSheetId="1">'[44]25-27RC. PIPE(3หน้า)'!#REF!</definedName>
    <definedName name="PIPE1.5" localSheetId="30">'[44]25-27RC. PIPE(3หน้า)'!#REF!</definedName>
    <definedName name="PIPE1.5">'[45]25-27RC. PIPE(3หน้า)'!#REF!</definedName>
    <definedName name="pipe100" localSheetId="1">[7]ค่างานต้นทุน!$H$159</definedName>
    <definedName name="pipe100" localSheetId="30">[7]ค่างานต้นทุน!$H$159</definedName>
    <definedName name="pipe100">[6]ค่างานต้นทุน!$H$159</definedName>
    <definedName name="pipe120" localSheetId="1">[7]ค่างานต้นทุน!$H$167</definedName>
    <definedName name="pipe120" localSheetId="30">[7]ค่างานต้นทุน!$H$167</definedName>
    <definedName name="pipe120">[6]ค่างานต้นทุน!$H$167</definedName>
    <definedName name="pipe150">[9]ค่างานต้นทุน!$H$196</definedName>
    <definedName name="pipe40" localSheetId="1">'[44]25-27RC. PIPE(3หน้า)'!#REF!</definedName>
    <definedName name="pipe40" localSheetId="30">'[44]25-27RC. PIPE(3หน้า)'!#REF!</definedName>
    <definedName name="pipe40">[9]ค่างานต้นทุน!$H$156</definedName>
    <definedName name="pipe40.1" localSheetId="1">[7]ค่างานต้นทุน!$H$134</definedName>
    <definedName name="pipe40.1" localSheetId="30">[7]ค่างานต้นทุน!$H$134</definedName>
    <definedName name="pipe40.1">[6]ค่างานต้นทุน!$H$134</definedName>
    <definedName name="pipe60" localSheetId="1">'[44]25-27RC. PIPE(3หน้า)'!#REF!</definedName>
    <definedName name="pipe60" localSheetId="30">'[44]25-27RC. PIPE(3หน้า)'!#REF!</definedName>
    <definedName name="pipe60">[6]ค่างานต้นทุน!$H$143</definedName>
    <definedName name="pipe80" localSheetId="1">'[44]25-27RC. PIPE(3หน้า)'!#REF!</definedName>
    <definedName name="pipe80" localSheetId="30">'[44]25-27RC. PIPE(3หน้า)'!#REF!</definedName>
    <definedName name="pipe80">[6]ค่างานต้นทุน!$H$151</definedName>
    <definedName name="Plain" localSheetId="1">#REF!</definedName>
    <definedName name="Plain" localSheetId="30">#REF!</definedName>
    <definedName name="Plain_Conc_Headwall" localSheetId="1">[17]ค่างานต้นทุนต่อหน่วย!#REF!</definedName>
    <definedName name="Plain_Conc_Headwall" localSheetId="30">[17]ค่างานต้นทุนต่อหน่วย!#REF!</definedName>
    <definedName name="Plain_Conc_Headwall">'[19]Cost Estimate'!#REF!</definedName>
    <definedName name="PMAorAC01" localSheetId="1">[8]Sheet1!$A$48</definedName>
    <definedName name="PMAorAC01" localSheetId="30">[8]Sheet1!$A$48</definedName>
    <definedName name="PMAorAC01">[4]Form1!$A$43</definedName>
    <definedName name="PMAorAC02" localSheetId="1">[8]Sheet1!$A$49</definedName>
    <definedName name="PMAorAC02" localSheetId="30">[8]Sheet1!$A$49</definedName>
    <definedName name="PMAorAC02">[4]Form1!$A$44</definedName>
    <definedName name="pmk" localSheetId="1">#REF!</definedName>
    <definedName name="pmk" localSheetId="30">#REF!</definedName>
    <definedName name="Pmk43katug" localSheetId="1">#REF!</definedName>
    <definedName name="Pmk43katug" localSheetId="30">#REF!</definedName>
    <definedName name="POM" localSheetId="1">#REF!</definedName>
    <definedName name="POM" localSheetId="30">#REF!</definedName>
    <definedName name="PorousBackfill" localSheetId="1">[17]ค่างานต้นทุนต่อหน่วย!#REF!</definedName>
    <definedName name="PorousBackfill" localSheetId="30">[17]ค่างานต้นทุนต่อหน่วย!#REF!</definedName>
    <definedName name="PorousBackfill">'[19]Cost Estimate'!#REF!</definedName>
    <definedName name="ppp" localSheetId="1">#REF!</definedName>
    <definedName name="ppp" localSheetId="30">#REF!</definedName>
    <definedName name="prime" localSheetId="1">[7]ค่างานต้นทุน!$H$89</definedName>
    <definedName name="prime" localSheetId="30">[7]ค่างานต้นทุน!$H$89</definedName>
    <definedName name="prime">[6]ค่างานต้นทุน!$H$89</definedName>
    <definedName name="Prime_Coat" localSheetId="1">[17]ค่างานต้นทุนต่อหน่วย!#REF!</definedName>
    <definedName name="Prime_Coat" localSheetId="30">[17]ค่างานต้นทุนต่อหน่วย!#REF!</definedName>
    <definedName name="Prime_Coat">'[19]Cost Estimate'!#REF!</definedName>
    <definedName name="PrimeMat" localSheetId="1">[8]Sheet1!$H$41</definedName>
    <definedName name="PrimeMat" localSheetId="30">[8]Sheet1!$H$41</definedName>
    <definedName name="PrimeMat">[4]Form1!$H$36</definedName>
    <definedName name="_xlnm.Print_Area" localSheetId="15">'3412010'!$A$1:$K$72</definedName>
    <definedName name="_xlnm.Print_Area" localSheetId="5">'งานดิน '!$A$1:$K$18</definedName>
    <definedName name="_xlnm.Print_Area" localSheetId="4">ทดสอบดิน!$A$1:$K$16</definedName>
    <definedName name="_xlnm.Print_Area" localSheetId="16">'ปร4 ครุภัณฑ์'!$A$1:$N$15</definedName>
    <definedName name="_xlnm.Print_Area" localSheetId="7">'ปร4 ครุภัณฑ์โซล่าเซลล์'!$A$1:$N$30</definedName>
    <definedName name="_xlnm.Print_Area" localSheetId="8">'ปร4 โครงสร้างโซล่าเซลล์'!$A$1:$N$34</definedName>
    <definedName name="_xlnm.Print_Area" localSheetId="9">'ปร4 โครงสร้างหอถัง'!$A$1:$M$244</definedName>
    <definedName name="_xlnm.Print_Area" localSheetId="10">'ปร5 กทั้งหมด'!$A$1:$K$42</definedName>
    <definedName name="_xlnm.Print_Area" localSheetId="19">'ปร5 ข ครุภัณฑ์'!$A$1:$K$26</definedName>
    <definedName name="_xlnm.Print_Area" localSheetId="20">'ปร6 (อาร์ม)'!$A$1:$K$32</definedName>
    <definedName name="_xlnm.Print_Area" localSheetId="11">ไม้แบบ!$B$1:$M$50,ไม้แบบ!$O$1:$W$50,ไม้แบบ!$Z$1:$AK$50,ไม้แบบ!$AM$1:$AY$50</definedName>
    <definedName name="Print_Area_MI" localSheetId="0">#REF!</definedName>
    <definedName name="Print_Area_MI" localSheetId="1">#REF!</definedName>
    <definedName name="Print_Area_MI" localSheetId="30">#REF!</definedName>
    <definedName name="Print_Area_MI" localSheetId="14">#REF!</definedName>
    <definedName name="Print_Area_MI" localSheetId="16">#REF!</definedName>
    <definedName name="Print_Area_MI" localSheetId="7">#REF!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9">#REF!</definedName>
    <definedName name="Print_Area_MI" localSheetId="20">#REF!</definedName>
    <definedName name="Print_Area_MI" localSheetId="6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>#REF!</definedName>
    <definedName name="_xlnm.Print_Titles" localSheetId="15">'3412010'!$1:$7</definedName>
    <definedName name="_xlnm.Print_Titles" localSheetId="5">'งานดิน '!$1:$7</definedName>
    <definedName name="Q" localSheetId="1">[21]ข้อมูลคำนวณ1!$C$70</definedName>
    <definedName name="Q" localSheetId="30">[21]ข้อมูลคำนวณ1!$C$70</definedName>
    <definedName name="Q">[22]ข้อมูลคำนวณ1!$C$70</definedName>
    <definedName name="RainCondition" localSheetId="1">[8]Sheet1!$P$3</definedName>
    <definedName name="RainCondition" localSheetId="30">[8]Sheet1!$P$3</definedName>
    <definedName name="RainCondition">[4]Form1!$P$3</definedName>
    <definedName name="RainFValue" localSheetId="1">[3]Form1!$DK$5</definedName>
    <definedName name="RainFValue" localSheetId="30">[3]Form1!$DK$5</definedName>
    <definedName name="RainFValue">[4]Form1!$DK$5</definedName>
    <definedName name="RainIndex" localSheetId="1">[8]Sheet1!$DU$5</definedName>
    <definedName name="RainIndex" localSheetId="30">[8]Sheet1!$DU$5</definedName>
    <definedName name="RainIndex">[4]Form1!$DJ$5</definedName>
    <definedName name="rb" localSheetId="1">'[39]10 ข้อมูลวัสดุ-ค่าดำเนิน'!$X$15</definedName>
    <definedName name="rb" localSheetId="30">'[39]10 ข้อมูลวัสดุ-ค่าดำเนิน'!$X$15</definedName>
    <definedName name="rb" localSheetId="29">'[40]10 ข้อมูลวัสดุ-ค่าดำเนิน'!$X$15</definedName>
    <definedName name="rb">'[41]10 ข้อมูลวัสดุ-ค่าดำเนิน'!$X$15</definedName>
    <definedName name="RB_6" localSheetId="1">[28]ข้อมูลงานคอนกรีต!#REF!</definedName>
    <definedName name="RB_6" localSheetId="30">[28]ข้อมูลงานคอนกรีต!#REF!</definedName>
    <definedName name="RB_6">[19]ข้อมูลงานคอนกรีต!#REF!</definedName>
    <definedName name="RB_9" localSheetId="1">[28]ข้อมูลงานคอนกรีต!#REF!</definedName>
    <definedName name="RB_9" localSheetId="30">[28]ข้อมูลงานคอนกรีต!#REF!</definedName>
    <definedName name="RB_9">[19]ข้อมูลงานคอนกรีต!#REF!</definedName>
    <definedName name="RB25mm" localSheetId="1">[23]หมวดโครงสร้าง!$P$177</definedName>
    <definedName name="RB25mm" localSheetId="30">[23]หมวดโครงสร้าง!$P$177</definedName>
    <definedName name="RB25mm">[24]หมวดโครงสร้าง!$P$177</definedName>
    <definedName name="rb6mm" localSheetId="29">[29]แหล่งวัสดุ!$F$23</definedName>
    <definedName name="rb6mm">[30]แหล่งวัสดุ!$F$23</definedName>
    <definedName name="rb9mm" localSheetId="29">[29]แหล่งวัสดุ!$F$24</definedName>
    <definedName name="rb9mm">[30]แหล่งวัสดุ!$F$24</definedName>
    <definedName name="rbb" localSheetId="1">'[39]10 ข้อมูลวัสดุ-ค่าดำเนิน'!$X$15</definedName>
    <definedName name="rbb" localSheetId="30">'[39]10 ข้อมูลวัสดุ-ค่าดำเนิน'!$X$15</definedName>
    <definedName name="rbb" localSheetId="29">'[40]10 ข้อมูลวัสดุ-ค่าดำเนิน'!$X$15</definedName>
    <definedName name="rbb">'[41]10 ข้อมูลวัสดุ-ค่าดำเนิน'!$X$15</definedName>
    <definedName name="RC_">[9]ค่าขนส่ง!$AE$85</definedName>
    <definedName name="rc_1">[9]ค่าขนส่งด้วยรถพ่วง!$S$92</definedName>
    <definedName name="rc_a">[20]หกล้อขนส่ง!$AG$83</definedName>
    <definedName name="RC_Box_Culvert1" localSheetId="1">[17]ค่างานต้นทุนต่อหน่วย!#REF!</definedName>
    <definedName name="RC_Box_Culvert1" localSheetId="30">[17]ค่างานต้นทุนต่อหน่วย!#REF!</definedName>
    <definedName name="RC_Box_Culvert1">'[19]Cost Estimate'!#REF!</definedName>
    <definedName name="RC_Box_Culvert2" localSheetId="1">[17]ค่างานต้นทุนต่อหน่วย!#REF!</definedName>
    <definedName name="RC_Box_Culvert2" localSheetId="30">[17]ค่างานต้นทุนต่อหน่วย!#REF!</definedName>
    <definedName name="RC_Box_Culvert2">'[19]Cost Estimate'!#REF!</definedName>
    <definedName name="RC_Box_Culvert3" localSheetId="1">[17]ค่างานต้นทุนต่อหน่วย!#REF!</definedName>
    <definedName name="RC_Box_Culvert3" localSheetId="30">[17]ค่างานต้นทุนต่อหน่วย!#REF!</definedName>
    <definedName name="RC_Box_Culvert3">'[19]Cost Estimate'!#REF!</definedName>
    <definedName name="RC_Box_Culvert4" localSheetId="1">[17]ค่างานต้นทุนต่อหน่วย!#REF!</definedName>
    <definedName name="RC_Box_Culvert4" localSheetId="30">[17]ค่างานต้นทุนต่อหน่วย!#REF!</definedName>
    <definedName name="RC_Box_Culvert4">'[19]Cost Estimate'!#REF!</definedName>
    <definedName name="RC_Ditch_TypeA" localSheetId="1">[17]ค่างานต้นทุนต่อหน่วย!#REF!</definedName>
    <definedName name="RC_Ditch_TypeA" localSheetId="30">[17]ค่างานต้นทุนต่อหน่วย!#REF!</definedName>
    <definedName name="RC_Ditch_TypeA">'[19]Cost Estimate'!#REF!</definedName>
    <definedName name="RC_Ditch_TypeB" localSheetId="1">[17]ค่างานต้นทุนต่อหน่วย!#REF!</definedName>
    <definedName name="RC_Ditch_TypeB" localSheetId="30">[17]ค่างานต้นทุนต่อหน่วย!#REF!</definedName>
    <definedName name="RC_Ditch_TypeB">'[19]Cost Estimate'!#REF!</definedName>
    <definedName name="RC_Gutter" localSheetId="1">[17]ค่างานต้นทุนต่อหน่วย!#REF!</definedName>
    <definedName name="RC_Gutter" localSheetId="30">[17]ค่างานต้นทุนต่อหน่วย!#REF!</definedName>
    <definedName name="RC_Gutter">'[19]Cost Estimate'!#REF!</definedName>
    <definedName name="RC_Rectang_Pipe" localSheetId="1">[17]ค่างานต้นทุนต่อหน่วย!#REF!</definedName>
    <definedName name="RC_Rectang_Pipe" localSheetId="30">[17]ค่างานต้นทุนต่อหน่วย!#REF!</definedName>
    <definedName name="RC_Rectang_Pipe">'[19]Cost Estimate'!#REF!</definedName>
    <definedName name="RC_Sign_Post120" localSheetId="1">[17]ค่างานต้นทุนต่อหน่วย!#REF!</definedName>
    <definedName name="RC_Sign_Post120" localSheetId="30">[17]ค่างานต้นทุนต่อหน่วย!#REF!</definedName>
    <definedName name="RC_Sign_Post120">'[19]Cost Estimate'!#REF!</definedName>
    <definedName name="RC_Sign_Post150" localSheetId="1">[17]ค่างานต้นทุนต่อหน่วย!#REF!</definedName>
    <definedName name="RC_Sign_Post150" localSheetId="30">[17]ค่างานต้นทุนต่อหน่วย!#REF!</definedName>
    <definedName name="RC_Sign_Post150">'[19]Cost Estimate'!#REF!</definedName>
    <definedName name="RCPipe100" localSheetId="1">[17]ค่างานต้นทุนต่อหน่วย!#REF!</definedName>
    <definedName name="RCPipe100" localSheetId="30">[17]ค่างานต้นทุนต่อหน่วย!#REF!</definedName>
    <definedName name="RCPipe100">'[19]Cost Estimate'!#REF!</definedName>
    <definedName name="RCPipe100C3" localSheetId="1">[17]ค่างานต้นทุนต่อหน่วย!#REF!</definedName>
    <definedName name="RCPipe100C3" localSheetId="30">[17]ค่างานต้นทุนต่อหน่วย!#REF!</definedName>
    <definedName name="RCPipe100C3">'[19]Cost Estimate'!#REF!</definedName>
    <definedName name="RCPipe120" localSheetId="1">[17]ค่างานต้นทุนต่อหน่วย!#REF!</definedName>
    <definedName name="RCPipe120" localSheetId="30">[17]ค่างานต้นทุนต่อหน่วย!#REF!</definedName>
    <definedName name="RCPipe120">'[19]Cost Estimate'!#REF!</definedName>
    <definedName name="RCPipe120C3" localSheetId="1">[17]ค่างานต้นทุนต่อหน่วย!#REF!</definedName>
    <definedName name="RCPipe120C3" localSheetId="30">[17]ค่างานต้นทุนต่อหน่วย!#REF!</definedName>
    <definedName name="RCPipe120C3">'[19]Cost Estimate'!#REF!</definedName>
    <definedName name="RCPipe150" localSheetId="1">[17]ค่างานต้นทุนต่อหน่วย!#REF!</definedName>
    <definedName name="RCPipe150" localSheetId="30">[17]ค่างานต้นทุนต่อหน่วย!#REF!</definedName>
    <definedName name="RCPipe150">'[19]Cost Estimate'!#REF!</definedName>
    <definedName name="RCPipe150C3" localSheetId="1">[17]ค่างานต้นทุนต่อหน่วย!#REF!</definedName>
    <definedName name="RCPipe150C3" localSheetId="30">[17]ค่างานต้นทุนต่อหน่วย!#REF!</definedName>
    <definedName name="RCPipe150C3">'[19]Cost Estimate'!#REF!</definedName>
    <definedName name="RCPipe30" localSheetId="0">#REF!</definedName>
    <definedName name="RCPipe30" localSheetId="1">[17]ค่างานต้นทุนต่อหน่วย!#REF!</definedName>
    <definedName name="RCPipe30" localSheetId="30">[17]ค่างานต้นทุนต่อหน่วย!#REF!</definedName>
    <definedName name="RCPipe30" localSheetId="14">#REF!</definedName>
    <definedName name="RCPipe30" localSheetId="16">#REF!</definedName>
    <definedName name="RCPipe30" localSheetId="7">#REF!</definedName>
    <definedName name="RCPipe30" localSheetId="8">#REF!</definedName>
    <definedName name="RCPipe30" localSheetId="9">#REF!</definedName>
    <definedName name="RCPipe30" localSheetId="10">#REF!</definedName>
    <definedName name="RCPipe30" localSheetId="19">#REF!</definedName>
    <definedName name="RCPipe30" localSheetId="20">#REF!</definedName>
    <definedName name="RCPipe30" localSheetId="6">#REF!</definedName>
    <definedName name="RCPipe30" localSheetId="11">#REF!</definedName>
    <definedName name="RCPipe30" localSheetId="12">#REF!</definedName>
    <definedName name="RCPipe30" localSheetId="13">#REF!</definedName>
    <definedName name="RCPipe30">#REF!</definedName>
    <definedName name="RCPipe30C3" localSheetId="0">#REF!</definedName>
    <definedName name="RCPipe30C3" localSheetId="1">[17]ค่างานต้นทุนต่อหน่วย!#REF!</definedName>
    <definedName name="RCPipe30C3" localSheetId="30">[17]ค่างานต้นทุนต่อหน่วย!#REF!</definedName>
    <definedName name="RCPipe30C3" localSheetId="14">#REF!</definedName>
    <definedName name="RCPipe30C3" localSheetId="16">#REF!</definedName>
    <definedName name="RCPipe30C3" localSheetId="7">#REF!</definedName>
    <definedName name="RCPipe30C3" localSheetId="8">#REF!</definedName>
    <definedName name="RCPipe30C3" localSheetId="9">#REF!</definedName>
    <definedName name="RCPipe30C3" localSheetId="10">#REF!</definedName>
    <definedName name="RCPipe30C3" localSheetId="19">#REF!</definedName>
    <definedName name="RCPipe30C3" localSheetId="20">#REF!</definedName>
    <definedName name="RCPipe30C3" localSheetId="6">#REF!</definedName>
    <definedName name="RCPipe30C3" localSheetId="11">#REF!</definedName>
    <definedName name="RCPipe30C3" localSheetId="12">#REF!</definedName>
    <definedName name="RCPipe30C3" localSheetId="13">#REF!</definedName>
    <definedName name="RCPipe30C3">#REF!</definedName>
    <definedName name="RCPipe40" localSheetId="0">#REF!</definedName>
    <definedName name="RCPipe40" localSheetId="1">[17]ค่างานต้นทุนต่อหน่วย!#REF!</definedName>
    <definedName name="RCPipe40" localSheetId="30">[17]ค่างานต้นทุนต่อหน่วย!#REF!</definedName>
    <definedName name="RCPipe40" localSheetId="14">#REF!</definedName>
    <definedName name="RCPipe40" localSheetId="16">#REF!</definedName>
    <definedName name="RCPipe40" localSheetId="7">#REF!</definedName>
    <definedName name="RCPipe40" localSheetId="8">#REF!</definedName>
    <definedName name="RCPipe40" localSheetId="9">#REF!</definedName>
    <definedName name="RCPipe40" localSheetId="10">#REF!</definedName>
    <definedName name="RCPipe40" localSheetId="19">#REF!</definedName>
    <definedName name="RCPipe40" localSheetId="20">#REF!</definedName>
    <definedName name="RCPipe40" localSheetId="6">#REF!</definedName>
    <definedName name="RCPipe40" localSheetId="11">#REF!</definedName>
    <definedName name="RCPipe40" localSheetId="12">#REF!</definedName>
    <definedName name="RCPipe40" localSheetId="13">#REF!</definedName>
    <definedName name="RCPipe40">#REF!</definedName>
    <definedName name="RCPipe40C3" localSheetId="0">#REF!</definedName>
    <definedName name="RCPipe40C3" localSheetId="1">[17]ค่างานต้นทุนต่อหน่วย!#REF!</definedName>
    <definedName name="RCPipe40C3" localSheetId="30">[17]ค่างานต้นทุนต่อหน่วย!#REF!</definedName>
    <definedName name="RCPipe40C3" localSheetId="14">#REF!</definedName>
    <definedName name="RCPipe40C3" localSheetId="16">#REF!</definedName>
    <definedName name="RCPipe40C3" localSheetId="7">#REF!</definedName>
    <definedName name="RCPipe40C3" localSheetId="8">#REF!</definedName>
    <definedName name="RCPipe40C3" localSheetId="9">#REF!</definedName>
    <definedName name="RCPipe40C3" localSheetId="10">#REF!</definedName>
    <definedName name="RCPipe40C3" localSheetId="19">#REF!</definedName>
    <definedName name="RCPipe40C3" localSheetId="20">#REF!</definedName>
    <definedName name="RCPipe40C3" localSheetId="6">#REF!</definedName>
    <definedName name="RCPipe40C3" localSheetId="11">#REF!</definedName>
    <definedName name="RCPipe40C3" localSheetId="12">#REF!</definedName>
    <definedName name="RCPipe40C3" localSheetId="13">#REF!</definedName>
    <definedName name="RCPipe40C3">#REF!</definedName>
    <definedName name="RCPipe50" localSheetId="0">#REF!</definedName>
    <definedName name="RCPipe50" localSheetId="1">[17]ค่างานต้นทุนต่อหน่วย!#REF!</definedName>
    <definedName name="RCPipe50" localSheetId="30">[17]ค่างานต้นทุนต่อหน่วย!#REF!</definedName>
    <definedName name="RCPipe50" localSheetId="14">#REF!</definedName>
    <definedName name="RCPipe50" localSheetId="16">#REF!</definedName>
    <definedName name="RCPipe50" localSheetId="7">#REF!</definedName>
    <definedName name="RCPipe50" localSheetId="8">#REF!</definedName>
    <definedName name="RCPipe50" localSheetId="9">#REF!</definedName>
    <definedName name="RCPipe50" localSheetId="10">#REF!</definedName>
    <definedName name="RCPipe50" localSheetId="19">#REF!</definedName>
    <definedName name="RCPipe50" localSheetId="20">#REF!</definedName>
    <definedName name="RCPipe50" localSheetId="6">#REF!</definedName>
    <definedName name="RCPipe50" localSheetId="11">#REF!</definedName>
    <definedName name="RCPipe50" localSheetId="12">#REF!</definedName>
    <definedName name="RCPipe50" localSheetId="13">#REF!</definedName>
    <definedName name="RCPipe50">#REF!</definedName>
    <definedName name="RCPipe50C3" localSheetId="0">#REF!</definedName>
    <definedName name="RCPipe50C3" localSheetId="1">[17]ค่างานต้นทุนต่อหน่วย!#REF!</definedName>
    <definedName name="RCPipe50C3" localSheetId="30">[17]ค่างานต้นทุนต่อหน่วย!#REF!</definedName>
    <definedName name="RCPipe50C3" localSheetId="14">#REF!</definedName>
    <definedName name="RCPipe50C3" localSheetId="16">#REF!</definedName>
    <definedName name="RCPipe50C3" localSheetId="7">#REF!</definedName>
    <definedName name="RCPipe50C3" localSheetId="8">#REF!</definedName>
    <definedName name="RCPipe50C3" localSheetId="9">#REF!</definedName>
    <definedName name="RCPipe50C3" localSheetId="10">#REF!</definedName>
    <definedName name="RCPipe50C3" localSheetId="19">#REF!</definedName>
    <definedName name="RCPipe50C3" localSheetId="20">#REF!</definedName>
    <definedName name="RCPipe50C3" localSheetId="6">#REF!</definedName>
    <definedName name="RCPipe50C3" localSheetId="11">#REF!</definedName>
    <definedName name="RCPipe50C3" localSheetId="12">#REF!</definedName>
    <definedName name="RCPipe50C3" localSheetId="13">#REF!</definedName>
    <definedName name="RCPipe50C3">#REF!</definedName>
    <definedName name="RCPipe60" localSheetId="1">[17]ค่างานต้นทุนต่อหน่วย!#REF!</definedName>
    <definedName name="RCPipe60" localSheetId="30">[17]ค่างานต้นทุนต่อหน่วย!#REF!</definedName>
    <definedName name="RCPipe60">'[19]Cost Estimate'!#REF!</definedName>
    <definedName name="RCPipe60C3" localSheetId="1">[17]ค่างานต้นทุนต่อหน่วย!#REF!</definedName>
    <definedName name="RCPipe60C3" localSheetId="30">[17]ค่างานต้นทุนต่อหน่วย!#REF!</definedName>
    <definedName name="RCPipe60C3">'[19]Cost Estimate'!#REF!</definedName>
    <definedName name="RCPipe80" localSheetId="1">[17]ค่างานต้นทุนต่อหน่วย!#REF!</definedName>
    <definedName name="RCPipe80" localSheetId="30">[17]ค่างานต้นทุนต่อหน่วย!#REF!</definedName>
    <definedName name="RCPipe80">'[19]Cost Estimate'!#REF!</definedName>
    <definedName name="RCPipe80C3" localSheetId="1">[17]ค่างานต้นทุนต่อหน่วย!#REF!</definedName>
    <definedName name="RCPipe80C3" localSheetId="30">[17]ค่างานต้นทุนต่อหน่วย!#REF!</definedName>
    <definedName name="RCPipe80C3">'[19]Cost Estimate'!#REF!</definedName>
    <definedName name="Re_Conc_Headwall" localSheetId="1">[17]ค่างานต้นทุนต่อหน่วย!#REF!</definedName>
    <definedName name="Re_Conc_Headwall" localSheetId="30">[17]ค่างานต้นทุนต่อหน่วย!#REF!</definedName>
    <definedName name="Re_Conc_Headwall">'[19]Cost Estimate'!#REF!</definedName>
    <definedName name="Recycling" localSheetId="1">[17]ค่างานต้นทุนต่อหน่วย!#REF!</definedName>
    <definedName name="Recycling" localSheetId="30">[17]ค่างานต้นทุนต่อหน่วย!#REF!</definedName>
    <definedName name="Recycling">'[19]Cost Estimate'!#REF!</definedName>
    <definedName name="RecyclingAgent" localSheetId="0">#REF!</definedName>
    <definedName name="RecyclingAgent" localSheetId="1">[17]ค่างานต้นทุนต่อหน่วย!#REF!</definedName>
    <definedName name="RecyclingAgent" localSheetId="30">[17]ค่างานต้นทุนต่อหน่วย!#REF!</definedName>
    <definedName name="RecyclingAgent" localSheetId="14">#REF!</definedName>
    <definedName name="RecyclingAgent" localSheetId="16">#REF!</definedName>
    <definedName name="RecyclingAgent" localSheetId="7">#REF!</definedName>
    <definedName name="RecyclingAgent" localSheetId="8">#REF!</definedName>
    <definedName name="RecyclingAgent" localSheetId="9">#REF!</definedName>
    <definedName name="RecyclingAgent" localSheetId="10">#REF!</definedName>
    <definedName name="RecyclingAgent" localSheetId="19">#REF!</definedName>
    <definedName name="RecyclingAgent" localSheetId="20">#REF!</definedName>
    <definedName name="RecyclingAgent" localSheetId="6">#REF!</definedName>
    <definedName name="RecyclingAgent" localSheetId="11">#REF!</definedName>
    <definedName name="RecyclingAgent" localSheetId="12">#REF!</definedName>
    <definedName name="RecyclingAgent" localSheetId="13">#REF!</definedName>
    <definedName name="RecyclingAgent">#REF!</definedName>
    <definedName name="Relocation_Exist_Lightings" localSheetId="1">[17]ค่างานต้นทุนต่อหน่วย!#REF!</definedName>
    <definedName name="Relocation_Exist_Lightings" localSheetId="30">[17]ค่างานต้นทุนต่อหน่วย!#REF!</definedName>
    <definedName name="Relocation_Exist_Lightings">'[19]Cost Estimate'!#REF!</definedName>
    <definedName name="Relocation_Exist_Overhang" localSheetId="1">[17]ค่างานต้นทุนต่อหน่วย!#REF!</definedName>
    <definedName name="Relocation_Exist_Overhang" localSheetId="30">[17]ค่างานต้นทุนต่อหน่วย!#REF!</definedName>
    <definedName name="Relocation_Exist_Overhang">'[19]Cost Estimate'!#REF!</definedName>
    <definedName name="Remark_Para" localSheetId="1">[17]ค่างานต้นทุนต่อหน่วย!#REF!</definedName>
    <definedName name="Remark_Para" localSheetId="30">[17]ค่างานต้นทุนต่อหน่วย!#REF!</definedName>
    <definedName name="Remark_Para">'[19]Cost Estimate'!#REF!</definedName>
    <definedName name="RemovalAC" localSheetId="0">#REF!</definedName>
    <definedName name="RemovalAC" localSheetId="1">[17]ค่างานต้นทุนต่อหน่วย!#REF!</definedName>
    <definedName name="RemovalAC" localSheetId="30">[17]ค่างานต้นทุนต่อหน่วย!#REF!</definedName>
    <definedName name="RemovalAC" localSheetId="14">#REF!</definedName>
    <definedName name="RemovalAC" localSheetId="16">#REF!</definedName>
    <definedName name="RemovalAC" localSheetId="7">#REF!</definedName>
    <definedName name="RemovalAC" localSheetId="8">#REF!</definedName>
    <definedName name="RemovalAC" localSheetId="9">#REF!</definedName>
    <definedName name="RemovalAC" localSheetId="10">#REF!</definedName>
    <definedName name="RemovalAC" localSheetId="19">#REF!</definedName>
    <definedName name="RemovalAC" localSheetId="20">#REF!</definedName>
    <definedName name="RemovalAC" localSheetId="6">#REF!</definedName>
    <definedName name="RemovalAC" localSheetId="11">#REF!</definedName>
    <definedName name="RemovalAC" localSheetId="12">#REF!</definedName>
    <definedName name="RemovalAC" localSheetId="13">#REF!</definedName>
    <definedName name="RemovalAC">#REF!</definedName>
    <definedName name="RemoveConcrete" localSheetId="0">#REF!</definedName>
    <definedName name="RemoveConcrete" localSheetId="1">[17]ค่างานต้นทุนต่อหน่วย!#REF!</definedName>
    <definedName name="RemoveConcrete" localSheetId="30">[17]ค่างานต้นทุนต่อหน่วย!#REF!</definedName>
    <definedName name="RemoveConcrete" localSheetId="14">#REF!</definedName>
    <definedName name="RemoveConcrete" localSheetId="16">#REF!</definedName>
    <definedName name="RemoveConcrete" localSheetId="7">#REF!</definedName>
    <definedName name="RemoveConcrete" localSheetId="8">#REF!</definedName>
    <definedName name="RemoveConcrete" localSheetId="9">#REF!</definedName>
    <definedName name="RemoveConcrete" localSheetId="10">#REF!</definedName>
    <definedName name="RemoveConcrete" localSheetId="19">#REF!</definedName>
    <definedName name="RemoveConcrete" localSheetId="20">#REF!</definedName>
    <definedName name="RemoveConcrete" localSheetId="6">#REF!</definedName>
    <definedName name="RemoveConcrete" localSheetId="11">#REF!</definedName>
    <definedName name="RemoveConcrete" localSheetId="12">#REF!</definedName>
    <definedName name="RemoveConcrete" localSheetId="13">#REF!</definedName>
    <definedName name="RemoveConcrete">#REF!</definedName>
    <definedName name="RemoveExistBox" localSheetId="1">[17]ค่างานต้นทุนต่อหน่วย!#REF!</definedName>
    <definedName name="RemoveExistBox" localSheetId="30">[17]ค่างานต้นทุนต่อหน่วย!#REF!</definedName>
    <definedName name="RemoveExistBox">'[19]Cost Estimate'!#REF!</definedName>
    <definedName name="RemoveExistBridge" localSheetId="1">[17]ค่างานต้นทุนต่อหน่วย!#REF!</definedName>
    <definedName name="RemoveExistBridge" localSheetId="30">[17]ค่างานต้นทุนต่อหน่วย!#REF!</definedName>
    <definedName name="RemoveExistBridge">'[19]Cost Estimate'!#REF!</definedName>
    <definedName name="RET">'[56]11 ข้อมูลงานCon'!$R$11</definedName>
    <definedName name="RetainingWall_II_100" localSheetId="1">[17]ค่างานต้นทุนต่อหน่วย!#REF!</definedName>
    <definedName name="RetainingWall_II_100" localSheetId="30">[17]ค่างานต้นทุนต่อหน่วย!#REF!</definedName>
    <definedName name="RetainingWall_II_100">'[19]Cost Estimate'!#REF!</definedName>
    <definedName name="RetainingWall_II_200" localSheetId="1">[17]ค่างานต้นทุนต่อหน่วย!#REF!</definedName>
    <definedName name="RetainingWall_II_200" localSheetId="30">[17]ค่างานต้นทุนต่อหน่วย!#REF!</definedName>
    <definedName name="RetainingWall_II_200">'[19]Cost Estimate'!#REF!</definedName>
    <definedName name="RetainingWall_II_300" localSheetId="1">[17]ค่างานต้นทุนต่อหน่วย!#REF!</definedName>
    <definedName name="RetainingWall_II_300" localSheetId="30">[17]ค่างานต้นทุนต่อหน่วย!#REF!</definedName>
    <definedName name="RetainingWall_II_300">'[19]Cost Estimate'!#REF!</definedName>
    <definedName name="RetainingWall1" localSheetId="1">[17]ค่างานต้นทุนต่อหน่วย!#REF!</definedName>
    <definedName name="RetainingWall1" localSheetId="30">[17]ค่างานต้นทุนต่อหน่วย!#REF!</definedName>
    <definedName name="RetainingWall1">'[19]Cost Estimate'!#REF!</definedName>
    <definedName name="RetainingWall2" localSheetId="1">[17]ค่างานต้นทุนต่อหน่วย!#REF!</definedName>
    <definedName name="RetainingWall2" localSheetId="30">[17]ค่างานต้นทุนต่อหน่วย!#REF!</definedName>
    <definedName name="RetainingWall2">'[19]Cost Estimate'!#REF!</definedName>
    <definedName name="RetainingWall3" localSheetId="1">[17]ค่างานต้นทุนต่อหน่วย!#REF!</definedName>
    <definedName name="RetainingWall3" localSheetId="30">[17]ค่างานต้นทุนต่อหน่วย!#REF!</definedName>
    <definedName name="RetainingWall3">'[19]Cost Estimate'!#REF!</definedName>
    <definedName name="Road_StudBi" localSheetId="1">[17]ค่างานต้นทุนต่อหน่วย!#REF!</definedName>
    <definedName name="Road_StudBi" localSheetId="30">[17]ค่างานต้นทุนต่อหน่วย!#REF!</definedName>
    <definedName name="Road_StudBi">'[19]Cost Estimate'!#REF!</definedName>
    <definedName name="Road_StudUni" localSheetId="1">[17]ค่างานต้นทุนต่อหน่วย!#REF!</definedName>
    <definedName name="Road_StudUni" localSheetId="30">[17]ค่างานต้นทุนต่อหน่วย!#REF!</definedName>
    <definedName name="Road_StudUni">'[19]Cost Estimate'!#REF!</definedName>
    <definedName name="ROCK.AC" localSheetId="1">'[44]3ข้อมูลวัสดุ-ค่าดำเนิน'!#REF!</definedName>
    <definedName name="ROCK.AC" localSheetId="30">'[44]3ข้อมูลวัสดุ-ค่าดำเนิน'!#REF!</definedName>
    <definedName name="ROCK.AC">'[45]3ข้อมูลวัสดุ-ค่าดำเนิน'!#REF!</definedName>
    <definedName name="ROW_Monument" localSheetId="1">[17]ค่างานต้นทุนต่อหน่วย!#REF!</definedName>
    <definedName name="ROW_Monument" localSheetId="30">[17]ค่างานต้นทุนต่อหน่วย!#REF!</definedName>
    <definedName name="ROW_Monument">'[19]Cost Estimate'!#REF!</definedName>
    <definedName name="rrr" localSheetId="1">'[36]10 ข้อมูลวัสดุ-ค่าดำเนิน'!$X$15</definedName>
    <definedName name="rrr" localSheetId="30">'[36]10 ข้อมูลวัสดุ-ค่าดำเนิน'!$X$15</definedName>
    <definedName name="rrr" localSheetId="29">'[37]10 ข้อมูลวัสดุ-ค่าดำเนิน'!$X$15</definedName>
    <definedName name="rrr">'[38]10 ข้อมูลวัสดุ-ค่าดำเนิน'!$X$15</definedName>
    <definedName name="RumbleStrip" localSheetId="1">[17]ค่างานต้นทุนต่อหน่วย!#REF!</definedName>
    <definedName name="RumbleStrip" localSheetId="30">[17]ค่างานต้นทุนต่อหน่วย!#REF!</definedName>
    <definedName name="RumbleStrip" localSheetId="29">[25]Form2!$A$3128</definedName>
    <definedName name="RumbleStrip">[26]Form2!$A$3128</definedName>
    <definedName name="S" localSheetId="0">#REF!</definedName>
    <definedName name="S" localSheetId="1">#REF!</definedName>
    <definedName name="S" localSheetId="30">#REF!</definedName>
    <definedName name="S" localSheetId="14">#REF!</definedName>
    <definedName name="S" localSheetId="16">#REF!</definedName>
    <definedName name="S" localSheetId="7">#REF!</definedName>
    <definedName name="S" localSheetId="8">#REF!</definedName>
    <definedName name="S" localSheetId="9">#REF!</definedName>
    <definedName name="S" localSheetId="10">#REF!</definedName>
    <definedName name="S" localSheetId="19">#REF!</definedName>
    <definedName name="S" localSheetId="20">#REF!</definedName>
    <definedName name="S" localSheetId="6">#REF!</definedName>
    <definedName name="S" localSheetId="11">#REF!</definedName>
    <definedName name="S" localSheetId="12">#REF!</definedName>
    <definedName name="S" localSheetId="13">#REF!</definedName>
    <definedName name="S">#REF!</definedName>
    <definedName name="Sand_Cushion_Pavement" localSheetId="0">#REF!</definedName>
    <definedName name="Sand_Cushion_Pavement" localSheetId="1">[17]ค่างานต้นทุนต่อหน่วย!#REF!</definedName>
    <definedName name="Sand_Cushion_Pavement" localSheetId="30">[17]ค่างานต้นทุนต่อหน่วย!#REF!</definedName>
    <definedName name="Sand_Cushion_Pavement" localSheetId="14">#REF!</definedName>
    <definedName name="Sand_Cushion_Pavement" localSheetId="16">#REF!</definedName>
    <definedName name="Sand_Cushion_Pavement" localSheetId="7">#REF!</definedName>
    <definedName name="Sand_Cushion_Pavement" localSheetId="8">#REF!</definedName>
    <definedName name="Sand_Cushion_Pavement" localSheetId="9">#REF!</definedName>
    <definedName name="Sand_Cushion_Pavement" localSheetId="10">#REF!</definedName>
    <definedName name="Sand_Cushion_Pavement" localSheetId="19">#REF!</definedName>
    <definedName name="Sand_Cushion_Pavement" localSheetId="20">#REF!</definedName>
    <definedName name="Sand_Cushion_Pavement" localSheetId="6">#REF!</definedName>
    <definedName name="Sand_Cushion_Pavement" localSheetId="11">#REF!</definedName>
    <definedName name="Sand_Cushion_Pavement" localSheetId="12">#REF!</definedName>
    <definedName name="Sand_Cushion_Pavement" localSheetId="13">#REF!</definedName>
    <definedName name="Sand_Cushion_Pavement">#REF!</definedName>
    <definedName name="Sand_Cushion_Sidewalk" localSheetId="1">[17]ค่างานต้นทุนต่อหน่วย!#REF!</definedName>
    <definedName name="Sand_Cushion_Sidewalk" localSheetId="30">[17]ค่างานต้นทุนต่อหน่วย!#REF!</definedName>
    <definedName name="Sand_Cushion_Sidewalk">'[19]Cost Estimate'!#REF!</definedName>
    <definedName name="Sand_Emb" localSheetId="0">#REF!</definedName>
    <definedName name="Sand_Emb" localSheetId="1">[17]ค่างานต้นทุนต่อหน่วย!#REF!</definedName>
    <definedName name="Sand_Emb" localSheetId="30">[17]ค่างานต้นทุนต่อหน่วย!#REF!</definedName>
    <definedName name="Sand_Emb" localSheetId="14">#REF!</definedName>
    <definedName name="Sand_Emb" localSheetId="16">#REF!</definedName>
    <definedName name="Sand_Emb" localSheetId="7">#REF!</definedName>
    <definedName name="Sand_Emb" localSheetId="8">#REF!</definedName>
    <definedName name="Sand_Emb" localSheetId="9">#REF!</definedName>
    <definedName name="Sand_Emb" localSheetId="10">#REF!</definedName>
    <definedName name="Sand_Emb" localSheetId="19">#REF!</definedName>
    <definedName name="Sand_Emb" localSheetId="20">#REF!</definedName>
    <definedName name="Sand_Emb" localSheetId="6">#REF!</definedName>
    <definedName name="Sand_Emb" localSheetId="11">#REF!</definedName>
    <definedName name="Sand_Emb" localSheetId="12">#REF!</definedName>
    <definedName name="Sand_Emb" localSheetId="13">#REF!</definedName>
    <definedName name="Sand_Emb">#REF!</definedName>
    <definedName name="SandConcDist" localSheetId="1">[8]Sheet1!$P$18</definedName>
    <definedName name="SandConcDist" localSheetId="30">[8]Sheet1!$P$18</definedName>
    <definedName name="SandConcDist" localSheetId="29">[27]Sheet1!$P$18</definedName>
    <definedName name="SandConcDist">[25]Sheet1!$P$18</definedName>
    <definedName name="SB" localSheetId="0">#REF!</definedName>
    <definedName name="SB" localSheetId="1">'[39]12 ข้อมูลงานไม้แบบ'!$W$29</definedName>
    <definedName name="SB" localSheetId="30">'[39]12 ข้อมูลงานไม้แบบ'!$W$29</definedName>
    <definedName name="SB" localSheetId="14">#REF!</definedName>
    <definedName name="SB" localSheetId="16">#REF!</definedName>
    <definedName name="SB" localSheetId="7">#REF!</definedName>
    <definedName name="SB" localSheetId="8">#REF!</definedName>
    <definedName name="SB" localSheetId="9">#REF!</definedName>
    <definedName name="SB" localSheetId="10">#REF!</definedName>
    <definedName name="SB" localSheetId="19">#REF!</definedName>
    <definedName name="SB" localSheetId="20">#REF!</definedName>
    <definedName name="SB" localSheetId="6">#REF!</definedName>
    <definedName name="SB" localSheetId="11">#REF!</definedName>
    <definedName name="SB" localSheetId="12">#REF!</definedName>
    <definedName name="SB" localSheetId="13">#REF!</definedName>
    <definedName name="SB">#REF!</definedName>
    <definedName name="SBB" localSheetId="1">'[39]12 ข้อมูลงานไม้แบบ'!$W$29</definedName>
    <definedName name="SBB" localSheetId="30">'[39]12 ข้อมูลงานไม้แบบ'!$W$29</definedName>
    <definedName name="SBB" localSheetId="29">'[40]12 ข้อมูลงานไม้แบบ'!$W$29</definedName>
    <definedName name="SBB">'[41]12 ข้อมูลงานไม้แบบ'!$W$29</definedName>
    <definedName name="SD30DB12">'[10]ต้นทุนcon,steel&amp;แบบ'!$J$224</definedName>
    <definedName name="SD30DB16">'[10]ต้นทุนcon,steel&amp;แบบ'!$J$232</definedName>
    <definedName name="SD30DB25">'[10]ต้นทุนcon,steel&amp;แบบ'!$J$248</definedName>
    <definedName name="sd40db12" localSheetId="1">[23]ไฟฟ้า!$I$5721</definedName>
    <definedName name="sd40db12" localSheetId="30">[23]ไฟฟ้า!$I$5721</definedName>
    <definedName name="sd40db12">[24]ไฟฟ้า!$I$5721</definedName>
    <definedName name="sd40db20" localSheetId="1">[23]ไฟฟ้า!$I$5741</definedName>
    <definedName name="sd40db20" localSheetId="30">[23]ไฟฟ้า!$I$5741</definedName>
    <definedName name="sd40db20">[24]ไฟฟ้า!$I$5741</definedName>
    <definedName name="sec" localSheetId="0">#REF!</definedName>
    <definedName name="sec" localSheetId="1">#REF!</definedName>
    <definedName name="sec" localSheetId="30">#REF!</definedName>
    <definedName name="sec" localSheetId="14">#REF!</definedName>
    <definedName name="sec" localSheetId="16">#REF!</definedName>
    <definedName name="sec" localSheetId="7">#REF!</definedName>
    <definedName name="sec" localSheetId="8">#REF!</definedName>
    <definedName name="sec" localSheetId="9">#REF!</definedName>
    <definedName name="sec" localSheetId="10">#REF!</definedName>
    <definedName name="sec" localSheetId="19">#REF!</definedName>
    <definedName name="sec" localSheetId="20">#REF!</definedName>
    <definedName name="sec" localSheetId="6">#REF!</definedName>
    <definedName name="sec" localSheetId="11">#REF!</definedName>
    <definedName name="sec" localSheetId="12">#REF!</definedName>
    <definedName name="sec" localSheetId="13">#REF!</definedName>
    <definedName name="sec">#REF!</definedName>
    <definedName name="select" localSheetId="1">[7]ค่างานต้นทุน!$H$50</definedName>
    <definedName name="select" localSheetId="30">[7]ค่างานต้นทุน!$H$50</definedName>
    <definedName name="select">[6]ค่างานต้นทุน!$H$50</definedName>
    <definedName name="Select_Mat_A" localSheetId="0">#REF!</definedName>
    <definedName name="Select_Mat_A" localSheetId="1">[17]ค่างานต้นทุนต่อหน่วย!#REF!</definedName>
    <definedName name="Select_Mat_A" localSheetId="30">[17]ค่างานต้นทุนต่อหน่วย!#REF!</definedName>
    <definedName name="Select_Mat_A" localSheetId="14">#REF!</definedName>
    <definedName name="Select_Mat_A" localSheetId="16">#REF!</definedName>
    <definedName name="Select_Mat_A" localSheetId="7">#REF!</definedName>
    <definedName name="Select_Mat_A" localSheetId="8">#REF!</definedName>
    <definedName name="Select_Mat_A" localSheetId="9">#REF!</definedName>
    <definedName name="Select_Mat_A" localSheetId="10">#REF!</definedName>
    <definedName name="Select_Mat_A" localSheetId="19">#REF!</definedName>
    <definedName name="Select_Mat_A" localSheetId="20">#REF!</definedName>
    <definedName name="Select_Mat_A" localSheetId="6">#REF!</definedName>
    <definedName name="Select_Mat_A" localSheetId="11">#REF!</definedName>
    <definedName name="Select_Mat_A" localSheetId="12">#REF!</definedName>
    <definedName name="Select_Mat_A" localSheetId="13">#REF!</definedName>
    <definedName name="Select_Mat_A">#REF!</definedName>
    <definedName name="Select_Mat_B" localSheetId="1">[17]ค่างานต้นทุนต่อหน่วย!#REF!</definedName>
    <definedName name="Select_Mat_B" localSheetId="30">[17]ค่างานต้นทุนต่อหน่วย!#REF!</definedName>
    <definedName name="Select_Mat_B">'[19]Cost Estimate'!#REF!</definedName>
    <definedName name="Shoulder_ScarifyAgg" localSheetId="0">#REF!</definedName>
    <definedName name="Shoulder_ScarifyAgg" localSheetId="1">[17]ค่างานต้นทุนต่อหน่วย!#REF!</definedName>
    <definedName name="Shoulder_ScarifyAgg" localSheetId="30">[17]ค่างานต้นทุนต่อหน่วย!#REF!</definedName>
    <definedName name="Shoulder_ScarifyAgg" localSheetId="14">#REF!</definedName>
    <definedName name="Shoulder_ScarifyAgg" localSheetId="16">#REF!</definedName>
    <definedName name="Shoulder_ScarifyAgg" localSheetId="7">#REF!</definedName>
    <definedName name="Shoulder_ScarifyAgg" localSheetId="8">#REF!</definedName>
    <definedName name="Shoulder_ScarifyAgg" localSheetId="9">#REF!</definedName>
    <definedName name="Shoulder_ScarifyAgg" localSheetId="10">#REF!</definedName>
    <definedName name="Shoulder_ScarifyAgg" localSheetId="19">#REF!</definedName>
    <definedName name="Shoulder_ScarifyAgg" localSheetId="20">#REF!</definedName>
    <definedName name="Shoulder_ScarifyAgg" localSheetId="6">#REF!</definedName>
    <definedName name="Shoulder_ScarifyAgg" localSheetId="11">#REF!</definedName>
    <definedName name="Shoulder_ScarifyAgg" localSheetId="12">#REF!</definedName>
    <definedName name="Shoulder_ScarifyAgg" localSheetId="13">#REF!</definedName>
    <definedName name="Shoulder_ScarifyAgg">#REF!</definedName>
    <definedName name="Shoulder_ScarifyRock" localSheetId="0">#REF!</definedName>
    <definedName name="Shoulder_ScarifyRock" localSheetId="1">[17]ค่างานต้นทุนต่อหน่วย!#REF!</definedName>
    <definedName name="Shoulder_ScarifyRock" localSheetId="30">[17]ค่างานต้นทุนต่อหน่วย!#REF!</definedName>
    <definedName name="Shoulder_ScarifyRock" localSheetId="14">#REF!</definedName>
    <definedName name="Shoulder_ScarifyRock" localSheetId="16">#REF!</definedName>
    <definedName name="Shoulder_ScarifyRock" localSheetId="7">#REF!</definedName>
    <definedName name="Shoulder_ScarifyRock" localSheetId="8">#REF!</definedName>
    <definedName name="Shoulder_ScarifyRock" localSheetId="9">#REF!</definedName>
    <definedName name="Shoulder_ScarifyRock" localSheetId="10">#REF!</definedName>
    <definedName name="Shoulder_ScarifyRock" localSheetId="19">#REF!</definedName>
    <definedName name="Shoulder_ScarifyRock" localSheetId="20">#REF!</definedName>
    <definedName name="Shoulder_ScarifyRock" localSheetId="6">#REF!</definedName>
    <definedName name="Shoulder_ScarifyRock" localSheetId="11">#REF!</definedName>
    <definedName name="Shoulder_ScarifyRock" localSheetId="12">#REF!</definedName>
    <definedName name="Shoulder_ScarifyRock" localSheetId="13">#REF!</definedName>
    <definedName name="Shoulder_ScarifyRock">#REF!</definedName>
    <definedName name="Sign_Plate" localSheetId="1">[17]ค่างานต้นทุนต่อหน่วย!#REF!</definedName>
    <definedName name="Sign_Plate" localSheetId="30">[17]ค่างานต้นทุนต่อหน่วย!#REF!</definedName>
    <definedName name="Sign_Plate">'[19]Cost Estimate'!#REF!</definedName>
    <definedName name="SignOfCM" localSheetId="1">[17]ค่างานต้นทุนต่อหน่วย!#REF!</definedName>
    <definedName name="SignOfCM" localSheetId="30">[17]ค่างานต้นทุนต่อหน่วย!#REF!</definedName>
    <definedName name="SignOfCM">'[19]Cost Estimate'!#REF!</definedName>
    <definedName name="SignOfCM1" localSheetId="1">[17]ค่างานต้นทุนต่อหน่วย!#REF!</definedName>
    <definedName name="SignOfCM1" localSheetId="30">[17]ค่างานต้นทุนต่อหน่วย!#REF!</definedName>
    <definedName name="SignOfCM1">'[19]Cost Estimate'!#REF!</definedName>
    <definedName name="SignOfCM2" localSheetId="1">[17]ค่างานต้นทุนต่อหน่วย!#REF!</definedName>
    <definedName name="SignOfCM2" localSheetId="30">[17]ค่างานต้นทุนต่อหน่วย!#REF!</definedName>
    <definedName name="SignOfCM2">'[19]Cost Estimate'!#REF!</definedName>
    <definedName name="SignOfCM3" localSheetId="1">[17]ค่างานต้นทุนต่อหน่วย!#REF!</definedName>
    <definedName name="SignOfCM3" localSheetId="30">[17]ค่างานต้นทุนต่อหน่วย!#REF!</definedName>
    <definedName name="SignOfCM3">'[19]Cost Estimate'!#REF!</definedName>
    <definedName name="Single_Elec_Pole" localSheetId="1">[17]ค่างานต้นทุนต่อหน่วย!#REF!</definedName>
    <definedName name="Single_Elec_Pole" localSheetId="30">[17]ค่างานต้นทุนต่อหน่วย!#REF!</definedName>
    <definedName name="Single_Elec_Pole">'[19]Cost Estimate'!#REF!</definedName>
    <definedName name="Skew" localSheetId="1">#REF!</definedName>
    <definedName name="Skew" localSheetId="30">#REF!</definedName>
    <definedName name="Skew">'[22]Multi_Box 1'!$C$9</definedName>
    <definedName name="skew2">[5]วัสดุตอม่อตับริมกว้าง9ม_1!$T$196:$Z$232</definedName>
    <definedName name="SLOPER1">'[5]2_สรุปปริมาณวสดุSLOPE PROT.'!$E$6:$T$20</definedName>
    <definedName name="SLOPER2">'[5]1.5_สรุปปริมาณวัสดุSLOPE PROT.'!$E$6:$T$20</definedName>
    <definedName name="SLOPER3">'[5]1.5_สรุปปริมาณวัสดุSLOPE PROT.'!$V$5:$W$20</definedName>
    <definedName name="SlurrySeal2" localSheetId="1">[17]ค่างานต้นทุนต่อหน่วย!#REF!</definedName>
    <definedName name="SlurrySeal2" localSheetId="30">[17]ค่างานต้นทุนต่อหน่วย!#REF!</definedName>
    <definedName name="SlurrySeal2">'[19]Cost Estimate'!#REF!</definedName>
    <definedName name="Soft_Mat_Ex" localSheetId="1">[17]ค่างานต้นทุนต่อหน่วย!#REF!</definedName>
    <definedName name="Soft_Mat_Ex" localSheetId="30">[17]ค่างานต้นทุนต่อหน่วย!#REF!</definedName>
    <definedName name="Soft_Mat_Ex">'[19]Cost Estimate'!#REF!</definedName>
    <definedName name="Soft_Mat_ExOnly" localSheetId="0">#REF!</definedName>
    <definedName name="Soft_Mat_ExOnly" localSheetId="1">[17]ค่างานต้นทุนต่อหน่วย!#REF!</definedName>
    <definedName name="Soft_Mat_ExOnly" localSheetId="30">[17]ค่างานต้นทุนต่อหน่วย!#REF!</definedName>
    <definedName name="Soft_Mat_ExOnly" localSheetId="14">#REF!</definedName>
    <definedName name="Soft_Mat_ExOnly" localSheetId="16">#REF!</definedName>
    <definedName name="Soft_Mat_ExOnly" localSheetId="7">#REF!</definedName>
    <definedName name="Soft_Mat_ExOnly" localSheetId="8">#REF!</definedName>
    <definedName name="Soft_Mat_ExOnly" localSheetId="9">#REF!</definedName>
    <definedName name="Soft_Mat_ExOnly" localSheetId="10">#REF!</definedName>
    <definedName name="Soft_Mat_ExOnly" localSheetId="19">#REF!</definedName>
    <definedName name="Soft_Mat_ExOnly" localSheetId="20">#REF!</definedName>
    <definedName name="Soft_Mat_ExOnly" localSheetId="6">#REF!</definedName>
    <definedName name="Soft_Mat_ExOnly" localSheetId="11">#REF!</definedName>
    <definedName name="Soft_Mat_ExOnly" localSheetId="12">#REF!</definedName>
    <definedName name="Soft_Mat_ExOnly" localSheetId="13">#REF!</definedName>
    <definedName name="Soft_Mat_ExOnly">#REF!</definedName>
    <definedName name="SoftMatType" localSheetId="1">[8]Sheet1!$P$21</definedName>
    <definedName name="SoftMatType" localSheetId="30">[8]Sheet1!$P$21</definedName>
    <definedName name="SoftMatType" localSheetId="29">[27]Sheet1!$P$21</definedName>
    <definedName name="SoftMatType">[25]Sheet1!$P$21</definedName>
    <definedName name="Soil_Agg_Shoulder" localSheetId="0">#REF!</definedName>
    <definedName name="Soil_Agg_Shoulder" localSheetId="1">[17]ค่างานต้นทุนต่อหน่วย!#REF!</definedName>
    <definedName name="Soil_Agg_Shoulder" localSheetId="30">[17]ค่างานต้นทุนต่อหน่วย!#REF!</definedName>
    <definedName name="Soil_Agg_Shoulder" localSheetId="14">#REF!</definedName>
    <definedName name="Soil_Agg_Shoulder" localSheetId="16">#REF!</definedName>
    <definedName name="Soil_Agg_Shoulder" localSheetId="7">#REF!</definedName>
    <definedName name="Soil_Agg_Shoulder" localSheetId="8">#REF!</definedName>
    <definedName name="Soil_Agg_Shoulder" localSheetId="9">#REF!</definedName>
    <definedName name="Soil_Agg_Shoulder" localSheetId="10">#REF!</definedName>
    <definedName name="Soil_Agg_Shoulder" localSheetId="19">#REF!</definedName>
    <definedName name="Soil_Agg_Shoulder" localSheetId="20">#REF!</definedName>
    <definedName name="Soil_Agg_Shoulder" localSheetId="6">#REF!</definedName>
    <definedName name="Soil_Agg_Shoulder" localSheetId="11">#REF!</definedName>
    <definedName name="Soil_Agg_Shoulder" localSheetId="12">#REF!</definedName>
    <definedName name="Soil_Agg_Shoulder" localSheetId="13">#REF!</definedName>
    <definedName name="Soil_Agg_Shoulder">#REF!</definedName>
    <definedName name="Soil_Agg_Subbase" localSheetId="0">#REF!</definedName>
    <definedName name="Soil_Agg_Subbase" localSheetId="1">[17]ค่างานต้นทุนต่อหน่วย!#REF!</definedName>
    <definedName name="Soil_Agg_Subbase" localSheetId="30">[17]ค่างานต้นทุนต่อหน่วย!#REF!</definedName>
    <definedName name="Soil_Agg_Subbase" localSheetId="14">#REF!</definedName>
    <definedName name="Soil_Agg_Subbase" localSheetId="16">#REF!</definedName>
    <definedName name="Soil_Agg_Subbase" localSheetId="7">#REF!</definedName>
    <definedName name="Soil_Agg_Subbase" localSheetId="8">#REF!</definedName>
    <definedName name="Soil_Agg_Subbase" localSheetId="9">#REF!</definedName>
    <definedName name="Soil_Agg_Subbase" localSheetId="10">#REF!</definedName>
    <definedName name="Soil_Agg_Subbase" localSheetId="19">#REF!</definedName>
    <definedName name="Soil_Agg_Subbase" localSheetId="20">#REF!</definedName>
    <definedName name="Soil_Agg_Subbase" localSheetId="6">#REF!</definedName>
    <definedName name="Soil_Agg_Subbase" localSheetId="11">#REF!</definedName>
    <definedName name="Soil_Agg_Subbase" localSheetId="12">#REF!</definedName>
    <definedName name="Soil_Agg_Subbase" localSheetId="13">#REF!</definedName>
    <definedName name="Soil_Agg_Subbase">#REF!</definedName>
    <definedName name="Soil_Cement" localSheetId="1">[17]ค่างานต้นทุนต่อหน่วย!#REF!</definedName>
    <definedName name="Soil_Cement" localSheetId="30">[17]ค่างานต้นทุนต่อหน่วย!#REF!</definedName>
    <definedName name="Soil_Cement">'[19]Cost Estimate'!#REF!</definedName>
    <definedName name="Soil_Cement_Sh" localSheetId="1">[17]ค่างานต้นทุนต่อหน่วย!#REF!</definedName>
    <definedName name="Soil_Cement_Sh" localSheetId="30">[17]ค่างานต้นทุนต่อหน่วย!#REF!</definedName>
    <definedName name="Soil_Cement_Sh">'[19]Cost Estimate'!#REF!</definedName>
    <definedName name="SP">[9]ค่าขนส่ง!$AE$27</definedName>
    <definedName name="spa">[20]หกล้อขนส่ง!$AG$25</definedName>
    <definedName name="sr24rb9" localSheetId="1">[23]ไฟฟ้า!$I$5623</definedName>
    <definedName name="sr24rb9" localSheetId="30">[23]ไฟฟ้า!$I$5623</definedName>
    <definedName name="sr24rb9">[24]ไฟฟ้า!$I$5623</definedName>
    <definedName name="sss" localSheetId="1">'[36]12 ข้อมูลงานไม้แบบ'!$W$29</definedName>
    <definedName name="sss" localSheetId="30">'[36]12 ข้อมูลงานไม้แบบ'!$W$29</definedName>
    <definedName name="sss" localSheetId="29">'[37]12 ข้อมูลงานไม้แบบ'!$W$29</definedName>
    <definedName name="sss">'[38]12 ข้อมูลงานไม้แบบ'!$W$29</definedName>
    <definedName name="STA" localSheetId="1">#REF!</definedName>
    <definedName name="STA" localSheetId="30">#REF!</definedName>
    <definedName name="steel" localSheetId="0">#REF!</definedName>
    <definedName name="steel" localSheetId="1">#REF!</definedName>
    <definedName name="steel" localSheetId="30">#REF!</definedName>
    <definedName name="steel" localSheetId="14">#REF!</definedName>
    <definedName name="steel" localSheetId="16">#REF!</definedName>
    <definedName name="steel" localSheetId="7">#REF!</definedName>
    <definedName name="steel" localSheetId="8">#REF!</definedName>
    <definedName name="steel" localSheetId="9">#REF!</definedName>
    <definedName name="steel" localSheetId="10">#REF!</definedName>
    <definedName name="steel" localSheetId="19">#REF!</definedName>
    <definedName name="steel" localSheetId="20">#REF!</definedName>
    <definedName name="steel" localSheetId="6">#REF!</definedName>
    <definedName name="steel" localSheetId="11">#REF!</definedName>
    <definedName name="steel" localSheetId="12">#REF!</definedName>
    <definedName name="steel" localSheetId="13">#REF!</definedName>
    <definedName name="steel">#REF!</definedName>
    <definedName name="SteelBox1" localSheetId="1">[8]Sheet1!$EB$225</definedName>
    <definedName name="SteelBox1" localSheetId="30">[8]Sheet1!$EB$225</definedName>
    <definedName name="SteelBox1">[4]Form1!$AQ$80</definedName>
    <definedName name="SteelBox2" localSheetId="1">[8]Sheet1!$EB$235</definedName>
    <definedName name="SteelBox2" localSheetId="30">[8]Sheet1!$EB$235</definedName>
    <definedName name="SteelBox2">[4]Form1!$AQ$90</definedName>
    <definedName name="SteelBox3" localSheetId="1">[8]Sheet1!$EB$244</definedName>
    <definedName name="SteelBox3" localSheetId="30">[8]Sheet1!$EB$244</definedName>
    <definedName name="SteelBox3">[4]Form1!$AQ$99</definedName>
    <definedName name="SteelBox4" localSheetId="1">[8]Sheet1!$EB$253</definedName>
    <definedName name="SteelBox4" localSheetId="30">[8]Sheet1!$EB$253</definedName>
    <definedName name="SteelBox4">[4]Form1!$AQ$108</definedName>
    <definedName name="SteelBoxEnd1" localSheetId="1">[8]Sheet1!$EC$225</definedName>
    <definedName name="SteelBoxEnd1" localSheetId="30">[8]Sheet1!$EC$225</definedName>
    <definedName name="SteelBoxEnd1">[4]Form1!$AR$80</definedName>
    <definedName name="SteelBoxEnd2" localSheetId="1">[8]Sheet1!$EC$235</definedName>
    <definedName name="SteelBoxEnd2" localSheetId="30">[8]Sheet1!$EC$235</definedName>
    <definedName name="SteelBoxEnd2">[4]Form1!$AR$90</definedName>
    <definedName name="SteelBoxEnd3" localSheetId="1">[8]Sheet1!$EC$244</definedName>
    <definedName name="SteelBoxEnd3" localSheetId="30">[8]Sheet1!$EC$244</definedName>
    <definedName name="SteelBoxEnd3">[4]Form1!$AR$99</definedName>
    <definedName name="SteelBoxEnd4" localSheetId="1">[8]Sheet1!$EC$253</definedName>
    <definedName name="SteelBoxEnd4" localSheetId="30">[8]Sheet1!$EC$253</definedName>
    <definedName name="SteelBoxEnd4">[4]Form1!$AR$108</definedName>
    <definedName name="StripSodding" localSheetId="1">[17]ค่างานต้นทุนต่อหน่วย!#REF!</definedName>
    <definedName name="StripSodding" localSheetId="30">[17]ค่างานต้นทุนต่อหน่วย!#REF!</definedName>
    <definedName name="StripSodding">'[19]Cost Estimate'!#REF!</definedName>
    <definedName name="sumbride" localSheetId="1">[57]bq!#REF!</definedName>
    <definedName name="sumbride" localSheetId="30">[57]bq!#REF!</definedName>
    <definedName name="sumbride">[58]bq!#REF!</definedName>
    <definedName name="surway.xls_............_............_............." localSheetId="0">#REF!</definedName>
    <definedName name="surway.xls_............_............_............." localSheetId="1">#REF!</definedName>
    <definedName name="surway.xls_............_............_............." localSheetId="30">#REF!</definedName>
    <definedName name="surway.xls_............_............_............." localSheetId="14">#REF!</definedName>
    <definedName name="surway.xls_............_............_............." localSheetId="16">#REF!</definedName>
    <definedName name="surway.xls_............_............_............." localSheetId="7">#REF!</definedName>
    <definedName name="surway.xls_............_............_............." localSheetId="8">#REF!</definedName>
    <definedName name="surway.xls_............_............_............." localSheetId="9">#REF!</definedName>
    <definedName name="surway.xls_............_............_............." localSheetId="10">#REF!</definedName>
    <definedName name="surway.xls_............_............_............." localSheetId="19">#REF!</definedName>
    <definedName name="surway.xls_............_............_............." localSheetId="20">#REF!</definedName>
    <definedName name="surway.xls_............_............_............." localSheetId="6">#REF!</definedName>
    <definedName name="surway.xls_............_............_............." localSheetId="11">#REF!</definedName>
    <definedName name="surway.xls_............_............_............." localSheetId="12">#REF!</definedName>
    <definedName name="surway.xls_............_............_............." localSheetId="13">#REF!</definedName>
    <definedName name="surway.xls_............_............_.............">#REF!</definedName>
    <definedName name="t.1" localSheetId="1">#REF!</definedName>
    <definedName name="t.1" localSheetId="30">#REF!</definedName>
    <definedName name="t.2" localSheetId="1">#REF!</definedName>
    <definedName name="t.2" localSheetId="30">#REF!</definedName>
    <definedName name="t.3" localSheetId="1">#REF!</definedName>
    <definedName name="t.3" localSheetId="30">#REF!</definedName>
    <definedName name="Table_6wheels_B\CUM" localSheetId="1">[8]Sheet1!$BH$633:$CK$832</definedName>
    <definedName name="Table_6wheels_B\CUM" localSheetId="30">[8]Sheet1!$BH$633:$CK$832</definedName>
    <definedName name="Table_6wheels_B\CUM" localSheetId="29">[27]Sheet1!$BH$633:$CK$832</definedName>
    <definedName name="Table_6wheels_B\CUM">[25]Sheet1!$BH$633:$CK$832</definedName>
    <definedName name="Table_6wheels_B\TON" localSheetId="1">[8]Sheet1!$AD$633:$BG$832</definedName>
    <definedName name="Table_6wheels_B\TON" localSheetId="30">[8]Sheet1!$AD$633:$BG$832</definedName>
    <definedName name="Table_6wheels_B\TON" localSheetId="29">[27]Sheet1!$AD$633:$BG$832</definedName>
    <definedName name="Table_6wheels_B\TON">[25]Sheet1!$AD$633:$BG$832</definedName>
    <definedName name="table_bar_hook" localSheetId="0">#REF!</definedName>
    <definedName name="table_bar_hook" localSheetId="1">#REF!</definedName>
    <definedName name="table_bar_hook" localSheetId="30">#REF!</definedName>
    <definedName name="table_bar_hook" localSheetId="14">#REF!</definedName>
    <definedName name="table_bar_hook" localSheetId="16">#REF!</definedName>
    <definedName name="table_bar_hook" localSheetId="7">#REF!</definedName>
    <definedName name="table_bar_hook" localSheetId="8">#REF!</definedName>
    <definedName name="table_bar_hook" localSheetId="9">#REF!</definedName>
    <definedName name="table_bar_hook" localSheetId="10">#REF!</definedName>
    <definedName name="table_bar_hook" localSheetId="19">#REF!</definedName>
    <definedName name="table_bar_hook" localSheetId="20">#REF!</definedName>
    <definedName name="table_bar_hook" localSheetId="6">#REF!</definedName>
    <definedName name="table_bar_hook" localSheetId="11">#REF!</definedName>
    <definedName name="table_bar_hook" localSheetId="12">#REF!</definedName>
    <definedName name="table_bar_hook" localSheetId="13">#REF!</definedName>
    <definedName name="table_bar_hook">#REF!</definedName>
    <definedName name="Table_BoxCul_End" localSheetId="1">[3]Form1!$U$78:$Y$147</definedName>
    <definedName name="Table_BoxCul_End" localSheetId="30">[3]Form1!$U$78:$Y$147</definedName>
    <definedName name="Table_BoxCul_End">[4]Form1!$U$78:$Y$147</definedName>
    <definedName name="Table_BoxCulvert" localSheetId="1">[3]Form1!$AB$78:$AH$147</definedName>
    <definedName name="Table_BoxCulvert" localSheetId="30">[3]Form1!$AB$78:$AH$147</definedName>
    <definedName name="Table_BoxCulvert">[4]Form1!$AB$78:$AH$147</definedName>
    <definedName name="Table_Depth_Of_Fill" localSheetId="1">[3]Form1!$AI$78:$AK$147</definedName>
    <definedName name="Table_Depth_Of_Fill" localSheetId="30">[3]Form1!$AI$78:$AK$147</definedName>
    <definedName name="Table_Depth_Of_Fill">[4]Form1!$AI$78:$AK$147</definedName>
    <definedName name="Table_Factor" localSheetId="1">[8]Sheet1!$W$224:$X$260</definedName>
    <definedName name="Table_Factor" localSheetId="30">[8]Sheet1!$W$224:$X$260</definedName>
    <definedName name="Table_Factor">[4]Form3!$W$218:$X$254</definedName>
    <definedName name="Table_FactorB" localSheetId="1">[8]Sheet1!$Y$224:$Z$265</definedName>
    <definedName name="Table_FactorB" localSheetId="30">[8]Sheet1!$Y$224:$Z$265</definedName>
    <definedName name="Table_FactorB">[4]Form3!$Y$218:$Z$259</definedName>
    <definedName name="Table_FactorConc_BoxCul" localSheetId="1">[3]Form1!$Z$78:$AA$147</definedName>
    <definedName name="Table_FactorConc_BoxCul" localSheetId="30">[3]Form1!$Z$78:$AA$147</definedName>
    <definedName name="Table_FactorConc_BoxCul">[4]Form1!$Z$78:$AA$147</definedName>
    <definedName name="table_multiple" localSheetId="0">#REF!</definedName>
    <definedName name="table_multiple" localSheetId="1">#REF!</definedName>
    <definedName name="table_multiple" localSheetId="30">#REF!</definedName>
    <definedName name="table_multiple" localSheetId="14">#REF!</definedName>
    <definedName name="table_multiple" localSheetId="16">#REF!</definedName>
    <definedName name="table_multiple" localSheetId="7">#REF!</definedName>
    <definedName name="table_multiple" localSheetId="8">#REF!</definedName>
    <definedName name="table_multiple" localSheetId="9">#REF!</definedName>
    <definedName name="table_multiple" localSheetId="10">#REF!</definedName>
    <definedName name="table_multiple" localSheetId="19">#REF!</definedName>
    <definedName name="table_multiple" localSheetId="20">#REF!</definedName>
    <definedName name="table_multiple" localSheetId="6">#REF!</definedName>
    <definedName name="table_multiple" localSheetId="11">#REF!</definedName>
    <definedName name="table_multiple" localSheetId="12">#REF!</definedName>
    <definedName name="table_multiple" localSheetId="13">#REF!</definedName>
    <definedName name="table_multiple">#REF!</definedName>
    <definedName name="table_single" localSheetId="0">#REF!</definedName>
    <definedName name="table_single" localSheetId="1">#REF!</definedName>
    <definedName name="table_single" localSheetId="30">#REF!</definedName>
    <definedName name="table_single" localSheetId="14">#REF!</definedName>
    <definedName name="table_single" localSheetId="16">#REF!</definedName>
    <definedName name="table_single" localSheetId="7">#REF!</definedName>
    <definedName name="table_single" localSheetId="8">#REF!</definedName>
    <definedName name="table_single" localSheetId="9">#REF!</definedName>
    <definedName name="table_single" localSheetId="10">#REF!</definedName>
    <definedName name="table_single" localSheetId="19">#REF!</definedName>
    <definedName name="table_single" localSheetId="20">#REF!</definedName>
    <definedName name="table_single" localSheetId="6">#REF!</definedName>
    <definedName name="table_single" localSheetId="11">#REF!</definedName>
    <definedName name="table_single" localSheetId="12">#REF!</definedName>
    <definedName name="table_single" localSheetId="13">#REF!</definedName>
    <definedName name="table_single">#REF!</definedName>
    <definedName name="Table_Trailer_B\CUM" localSheetId="1">[8]Sheet1!$BH$428:$CK$627</definedName>
    <definedName name="Table_Trailer_B\CUM" localSheetId="30">[8]Sheet1!$BH$428:$CK$627</definedName>
    <definedName name="Table_Trailer_B\CUM">[4]Form1!$BD$370:$CC$569</definedName>
    <definedName name="Table_Trailer_B\TON" localSheetId="1">[8]Sheet1!$AD$428:$BG$627</definedName>
    <definedName name="Table_Trailer_B\TON" localSheetId="30">[8]Sheet1!$AD$428:$BG$627</definedName>
    <definedName name="Table_Trailer_B\TON">[4]Form1!$AD$370:$BC$569</definedName>
    <definedName name="Table_Truck_B\CUM" localSheetId="1">[8]Sheet1!$BH$225:$CK$424</definedName>
    <definedName name="Table_Truck_B\CUM" localSheetId="30">[8]Sheet1!$BH$225:$CK$424</definedName>
    <definedName name="Table_Truck_B\CUM">[4]Form1!$BD$167:$CC$366</definedName>
    <definedName name="Table_Truck_B\TON" localSheetId="1">[8]Sheet1!$AD$225:$BG$424</definedName>
    <definedName name="Table_Truck_B\TON" localSheetId="30">[8]Sheet1!$AD$225:$BG$424</definedName>
    <definedName name="Table_Truck_B\TON">[4]Form1!$AD$167:$BC$366</definedName>
    <definedName name="TableBusStop" localSheetId="1">[8]Sheet1!$V$187:$W$192</definedName>
    <definedName name="TableBusStop" localSheetId="30">[8]Sheet1!$V$187:$W$192</definedName>
    <definedName name="TableBusStop">[4]Form1!$V$187:$W$192</definedName>
    <definedName name="TableCement" localSheetId="1">[28]ข้อมูลงานคอนกรีต!#REF!</definedName>
    <definedName name="TableCement" localSheetId="30">[28]ข้อมูลงานคอนกรีต!#REF!</definedName>
    <definedName name="TableCement">[19]ข้อมูลงานคอนกรีต!#REF!</definedName>
    <definedName name="TableCementBulk" localSheetId="1">[28]ข้อมูลงานคอนกรีต!#REF!</definedName>
    <definedName name="TableCementBulk" localSheetId="30">[28]ข้อมูลงานคอนกรีต!#REF!</definedName>
    <definedName name="TableCementBulk">[19]ข้อมูลงานคอนกรีต!#REF!</definedName>
    <definedName name="TableClearing" localSheetId="1">[8]Sheet1!$AE$9:$CJ$11</definedName>
    <definedName name="TableClearing" localSheetId="30">[8]Sheet1!$AE$9:$CJ$11</definedName>
    <definedName name="TableClearing">[4]Form1!$AE$9:$CB$11</definedName>
    <definedName name="TableDB12" localSheetId="1">[28]ข้อมูลงานคอนกรีต!#REF!</definedName>
    <definedName name="TableDB12" localSheetId="30">[28]ข้อมูลงานคอนกรีต!#REF!</definedName>
    <definedName name="TableDB12">[19]ข้อมูลงานคอนกรีต!#REF!</definedName>
    <definedName name="TableDB15" localSheetId="1">[28]ข้อมูลงานคอนกรีต!#REF!</definedName>
    <definedName name="TableDB15" localSheetId="30">[28]ข้อมูลงานคอนกรีต!#REF!</definedName>
    <definedName name="TableDB15">[19]ข้อมูลงานคอนกรีต!#REF!</definedName>
    <definedName name="TableDB16" localSheetId="1">[28]ข้อมูลงานคอนกรีต!#REF!</definedName>
    <definedName name="TableDB16" localSheetId="30">[28]ข้อมูลงานคอนกรีต!#REF!</definedName>
    <definedName name="TableDB16">[19]ข้อมูลงานคอนกรีต!#REF!</definedName>
    <definedName name="TableDB19" localSheetId="1">[28]ข้อมูลงานคอนกรีต!#REF!</definedName>
    <definedName name="TableDB19" localSheetId="30">[28]ข้อมูลงานคอนกรีต!#REF!</definedName>
    <definedName name="TableDB19">[19]ข้อมูลงานคอนกรีต!#REF!</definedName>
    <definedName name="TableDB20" localSheetId="1">[28]ข้อมูลงานคอนกรีต!#REF!</definedName>
    <definedName name="TableDB20" localSheetId="30">[28]ข้อมูลงานคอนกรีต!#REF!</definedName>
    <definedName name="TableDB20">[19]ข้อมูลงานคอนกรีต!#REF!</definedName>
    <definedName name="TableDB25" localSheetId="1">[28]ข้อมูลงานคอนกรีต!#REF!</definedName>
    <definedName name="TableDB25" localSheetId="30">[28]ข้อมูลงานคอนกรีต!#REF!</definedName>
    <definedName name="TableDB25">[19]ข้อมูลงานคอนกรีต!#REF!</definedName>
    <definedName name="TableEarthExCost" localSheetId="1">[8]Sheet1!$DR$16:$DR$21</definedName>
    <definedName name="TableEarthExCost" localSheetId="30">[8]Sheet1!$DR$16:$DR$21</definedName>
    <definedName name="TableEarthExCost">[4]Form1!$DG$16:$DG$21</definedName>
    <definedName name="TableGravelConc" localSheetId="1">[28]ข้อมูลงานคอนกรีต!#REF!</definedName>
    <definedName name="TableGravelConc" localSheetId="30">[28]ข้อมูลงานคอนกรีต!#REF!</definedName>
    <definedName name="TableGravelConc">[19]ข้อมูลงานคอนกรีต!#REF!</definedName>
    <definedName name="TablePrecision" localSheetId="1">[8]Sheet1!$Y$5:$Y$7</definedName>
    <definedName name="TablePrecision" localSheetId="30">[8]Sheet1!$Y$5:$Y$7</definedName>
    <definedName name="TablePrecision">[4]Form3!$Y$5:$Y$7</definedName>
    <definedName name="TableRainfallindex" localSheetId="1">[8]Sheet1!$DU$6:$DV$31</definedName>
    <definedName name="TableRainfallindex" localSheetId="30">[8]Sheet1!$DU$6:$DV$31</definedName>
    <definedName name="TableRainfallindex">[4]Form1!$DJ$6:$DK$31</definedName>
    <definedName name="TableRB6" localSheetId="1">[28]ข้อมูลงานคอนกรีต!#REF!</definedName>
    <definedName name="TableRB6" localSheetId="30">[28]ข้อมูลงานคอนกรีต!#REF!</definedName>
    <definedName name="TableRB6">[19]ข้อมูลงานคอนกรีต!#REF!</definedName>
    <definedName name="TableRB9" localSheetId="1">[28]ข้อมูลงานคอนกรีต!#REF!</definedName>
    <definedName name="TableRB9" localSheetId="30">[28]ข้อมูลงานคอนกรีต!#REF!</definedName>
    <definedName name="TableRB9">[19]ข้อมูลงานคอนกรีต!#REF!</definedName>
    <definedName name="TableRockConc" localSheetId="1">[28]ข้อมูลงานคอนกรีต!#REF!</definedName>
    <definedName name="TableRockConc" localSheetId="30">[28]ข้อมูลงานคอนกรีต!#REF!</definedName>
    <definedName name="TableRockConc">[19]ข้อมูลงานคอนกรีต!#REF!</definedName>
    <definedName name="TableSandConc" localSheetId="1">[28]ข้อมูลงานคอนกรีต!#REF!</definedName>
    <definedName name="TableSandConc" localSheetId="30">[28]ข้อมูลงานคอนกรีต!#REF!</definedName>
    <definedName name="TableSandConc">[19]ข้อมูลงานคอนกรีต!#REF!</definedName>
    <definedName name="TableSignOfCM" localSheetId="1">[8]Sheet1!$AB$193:$AM$206</definedName>
    <definedName name="TableSignOfCM" localSheetId="30">[8]Sheet1!$AB$193:$AM$206</definedName>
    <definedName name="TableSignOfCM">[4]Form1!$P$204:$AA$217</definedName>
    <definedName name="TableWire" localSheetId="1">[28]ข้อมูลงานคอนกรีต!#REF!</definedName>
    <definedName name="TableWire" localSheetId="30">[28]ข้อมูลงานคอนกรีต!#REF!</definedName>
    <definedName name="TableWire">[19]ข้อมูลงานคอนกรีต!#REF!</definedName>
    <definedName name="Tack_Coat" localSheetId="1">[17]ค่างานต้นทุนต่อหน่วย!#REF!</definedName>
    <definedName name="Tack_Coat" localSheetId="30">[17]ค่างานต้นทุนต่อหน่วย!#REF!</definedName>
    <definedName name="Tack_Coat">'[19]Cost Estimate'!#REF!</definedName>
    <definedName name="Tack_Coat_C" localSheetId="1">[17]ค่างานต้นทุนต่อหน่วย!#REF!</definedName>
    <definedName name="Tack_Coat_C" localSheetId="30">[17]ค่างานต้นทุนต่อหน่วย!#REF!</definedName>
    <definedName name="Tack_Coat_C">'[19]Cost Estimate'!#REF!</definedName>
    <definedName name="TB\TON1KM" localSheetId="1">[8]Sheet1!$CR$229</definedName>
    <definedName name="TB\TON1KM" localSheetId="30">[8]Sheet1!$CR$229</definedName>
    <definedName name="TB\TON1KM">[4]Form1!$CJ$171</definedName>
    <definedName name="TB\TON200KM" localSheetId="1">[3]Form1!$CL$171</definedName>
    <definedName name="TB\TON200KM" localSheetId="30">[3]Form1!$CL$171</definedName>
    <definedName name="TB\TON200KM">[4]Form1!$CL$171</definedName>
    <definedName name="tbrd1">[5]วัสดุตอม่อตับกลางที่1!$AL$45:$AR$46</definedName>
    <definedName name="tbrd2">[5]วัสดุตอม่อตับกลางที่1!$AW$45:$BC$46</definedName>
    <definedName name="TC">[9]ค่าขนส่ง!$AE$71</definedName>
    <definedName name="tca">[20]หกล้อขนส่ง!$AG$69</definedName>
    <definedName name="Thermo_Paint" localSheetId="1">[17]ค่างานต้นทุนต่อหน่วย!#REF!</definedName>
    <definedName name="Thermo_Paint" localSheetId="30">[17]ค่างานต้นทุนต่อหน่วย!#REF!</definedName>
    <definedName name="Thermo_Paint">'[19]Cost Estimate'!#REF!</definedName>
    <definedName name="timber" localSheetId="1">[7]ค่างานต้นทุน!$H$474</definedName>
    <definedName name="timber" localSheetId="30">[7]ค่างานต้นทุน!$H$474</definedName>
    <definedName name="timber">[6]ค่างานต้นทุน!$H$474</definedName>
    <definedName name="Timber_Barricade" localSheetId="1">[17]ค่างานต้นทุนต่อหน่วย!#REF!</definedName>
    <definedName name="Timber_Barricade" localSheetId="30">[17]ค่างานต้นทุนต่อหน่วย!#REF!</definedName>
    <definedName name="Timber_Barricade">'[19]Cost Estimate'!#REF!</definedName>
    <definedName name="TIME">[9]ค่าขนส่ง!$AE$30</definedName>
    <definedName name="time1">[9]ค่าขนส่งด้วยรถพ่วง!$S$34</definedName>
    <definedName name="timea">[20]หกล้อขนส่ง!$AG$28</definedName>
    <definedName name="TL" localSheetId="1">'[31]Cal Fto'!#REF!</definedName>
    <definedName name="TL" localSheetId="30">'[31]Cal Fto'!#REF!</definedName>
    <definedName name="top_slab_thk" localSheetId="0">#REF!</definedName>
    <definedName name="top_slab_thk" localSheetId="1">#REF!</definedName>
    <definedName name="top_slab_thk" localSheetId="30">#REF!</definedName>
    <definedName name="top_slab_thk" localSheetId="14">#REF!</definedName>
    <definedName name="top_slab_thk" localSheetId="16">#REF!</definedName>
    <definedName name="top_slab_thk" localSheetId="7">#REF!</definedName>
    <definedName name="top_slab_thk" localSheetId="8">#REF!</definedName>
    <definedName name="top_slab_thk" localSheetId="9">#REF!</definedName>
    <definedName name="top_slab_thk" localSheetId="10">#REF!</definedName>
    <definedName name="top_slab_thk" localSheetId="19">#REF!</definedName>
    <definedName name="top_slab_thk" localSheetId="20">#REF!</definedName>
    <definedName name="top_slab_thk" localSheetId="6">#REF!</definedName>
    <definedName name="top_slab_thk" localSheetId="11">#REF!</definedName>
    <definedName name="top_slab_thk" localSheetId="12">#REF!</definedName>
    <definedName name="top_slab_thk" localSheetId="13">#REF!</definedName>
    <definedName name="top_slab_thk">#REF!</definedName>
    <definedName name="Top_Soil" localSheetId="1">[17]ค่างานต้นทุนต่อหน่วย!#REF!</definedName>
    <definedName name="Top_Soil" localSheetId="30">[17]ค่างานต้นทุนต่อหน่วย!#REF!</definedName>
    <definedName name="Top_Soil">'[19]Cost Estimate'!#REF!</definedName>
    <definedName name="TR" localSheetId="0">#REF!</definedName>
    <definedName name="TR" localSheetId="1">#REF!</definedName>
    <definedName name="TR" localSheetId="30">#REF!</definedName>
    <definedName name="TR" localSheetId="14">#REF!</definedName>
    <definedName name="TR" localSheetId="16">#REF!</definedName>
    <definedName name="TR" localSheetId="7">#REF!</definedName>
    <definedName name="TR" localSheetId="8">#REF!</definedName>
    <definedName name="TR" localSheetId="9">#REF!</definedName>
    <definedName name="TR" localSheetId="10">#REF!</definedName>
    <definedName name="TR" localSheetId="19">#REF!</definedName>
    <definedName name="TR" localSheetId="20">#REF!</definedName>
    <definedName name="TR" localSheetId="6">#REF!</definedName>
    <definedName name="TR" localSheetId="11">#REF!</definedName>
    <definedName name="TR" localSheetId="12">#REF!</definedName>
    <definedName name="TR" localSheetId="13">#REF!</definedName>
    <definedName name="TR">#REF!</definedName>
    <definedName name="Traffic_Paint2" localSheetId="1">[17]ค่างานต้นทุนต่อหน่วย!#REF!</definedName>
    <definedName name="Traffic_Paint2" localSheetId="30">[17]ค่างานต้นทุนต่อหน่วย!#REF!</definedName>
    <definedName name="Traffic_Paint2">'[19]Cost Estimate'!#REF!</definedName>
    <definedName name="Traffic_Sign_Solar" localSheetId="1">[17]ค่างานต้นทุนต่อหน่วย!#REF!</definedName>
    <definedName name="Traffic_Sign_Solar" localSheetId="30">[17]ค่างานต้นทุนต่อหน่วย!#REF!</definedName>
    <definedName name="Traffic_Sign_Solar">'[19]Cost Estimate'!#REF!</definedName>
    <definedName name="Traffic_Signal" localSheetId="1">[17]ค่างานต้นทุนต่อหน่วย!#REF!</definedName>
    <definedName name="Traffic_Signal" localSheetId="30">[17]ค่างานต้นทุนต่อหน่วย!#REF!</definedName>
    <definedName name="Traffic_Signal">'[19]Cost Estimate'!#REF!</definedName>
    <definedName name="TrafficF" localSheetId="1">[8]Sheet1!$A$219</definedName>
    <definedName name="TrafficF" localSheetId="30">[8]Sheet1!$A$219</definedName>
    <definedName name="TrafficF">[4]Form3!$A$213</definedName>
    <definedName name="TrafficFactor" localSheetId="1">[8]Sheet1!$AB$271</definedName>
    <definedName name="TrafficFactor" localSheetId="30">[8]Sheet1!$AB$271</definedName>
    <definedName name="TrafficFactor">[4]Form3!$AB$265</definedName>
    <definedName name="TrafficTYPE" localSheetId="1">[8]Sheet1!$A$178</definedName>
    <definedName name="TrafficTYPE" localSheetId="30">[8]Sheet1!$A$178</definedName>
    <definedName name="TrafficTYPE">[4]Form1!$A$173</definedName>
    <definedName name="Trailer_B\TON" localSheetId="1">[8]Sheet1!$BL$212</definedName>
    <definedName name="Trailer_B\TON" localSheetId="30">[8]Sheet1!$BL$212</definedName>
    <definedName name="Trailer_B\TON" localSheetId="29">[25]Form1!$BL$212</definedName>
    <definedName name="Trailer_B\TON">[26]Form1!$BL$212</definedName>
    <definedName name="TRAN2">[5]ค่าขนส่ง10ล้อลากพ่วง!$A$6:$AW$1005</definedName>
    <definedName name="TransMethodCement" localSheetId="1">[8]Sheet1!$P$77</definedName>
    <definedName name="TransMethodCement" localSheetId="30">[8]Sheet1!$P$77</definedName>
    <definedName name="TransMethodCement" localSheetId="29">[27]Sheet1!$P$77</definedName>
    <definedName name="TransMethodCement">[25]Sheet1!$P$77</definedName>
    <definedName name="TransMethodCementBulk" localSheetId="1">[8]Sheet1!$P$27</definedName>
    <definedName name="TransMethodCementBulk" localSheetId="30">[8]Sheet1!$P$27</definedName>
    <definedName name="TransMethodCementBulk" localSheetId="29">[27]Sheet1!$P$27</definedName>
    <definedName name="TransMethodCementBulk">[25]Sheet1!$P$27</definedName>
    <definedName name="TransMethodSteel" localSheetId="1">[8]Sheet1!$O$81</definedName>
    <definedName name="TransMethodSteel" localSheetId="30">[8]Sheet1!$O$81</definedName>
    <definedName name="TransMethodSteel" localSheetId="29">[27]Sheet1!$O$81</definedName>
    <definedName name="TransMethodSteel">[25]Sheet1!$O$81</definedName>
    <definedName name="TransportMethodAC" localSheetId="1">[8]Sheet1!$O$12</definedName>
    <definedName name="TransportMethodAC" localSheetId="30">[8]Sheet1!$O$12</definedName>
    <definedName name="TransportMethodAC" localSheetId="29">[27]Sheet1!$O$12</definedName>
    <definedName name="TransportMethodAC">[25]Sheet1!$O$12</definedName>
    <definedName name="TransportMethodGrass" localSheetId="1">[8]Sheet1!$O$75</definedName>
    <definedName name="TransportMethodGrass" localSheetId="30">[8]Sheet1!$O$75</definedName>
    <definedName name="TransportMethodGrass" localSheetId="29">[27]Sheet1!$O$75</definedName>
    <definedName name="TransportMethodGrass">[25]Sheet1!$O$75</definedName>
    <definedName name="Truck_B\CUM" localSheetId="1">[3]Form1!$BH$154</definedName>
    <definedName name="Truck_B\CUM" localSheetId="30">[3]Form1!$BH$154</definedName>
    <definedName name="Truck_B\CUM">[4]Form1!$BH$154</definedName>
    <definedName name="Truck_B\TON" localSheetId="1">[8]Sheet1!$BL$210</definedName>
    <definedName name="Truck_B\TON" localSheetId="30">[8]Sheet1!$BL$210</definedName>
    <definedName name="Truck_B\TON">[4]Form1!$BH$153</definedName>
    <definedName name="Tsb" localSheetId="1">#REF!</definedName>
    <definedName name="Tsb" localSheetId="30">#REF!</definedName>
    <definedName name="Tst" localSheetId="1">#REF!</definedName>
    <definedName name="Tst" localSheetId="30">#REF!</definedName>
    <definedName name="TUBRIM">[5]วัสดุตอม่อตับริมกว้าง9ม_1!$J$206:$P$216</definedName>
    <definedName name="TUBRIM1" localSheetId="0">#REF!</definedName>
    <definedName name="TUBRIM1" localSheetId="1">#REF!</definedName>
    <definedName name="TUBRIM1" localSheetId="30">#REF!</definedName>
    <definedName name="TUBRIM1" localSheetId="14">#REF!</definedName>
    <definedName name="TUBRIM1" localSheetId="16">#REF!</definedName>
    <definedName name="TUBRIM1" localSheetId="7">#REF!</definedName>
    <definedName name="TUBRIM1" localSheetId="8">#REF!</definedName>
    <definedName name="TUBRIM1" localSheetId="9">#REF!</definedName>
    <definedName name="TUBRIM1" localSheetId="10">#REF!</definedName>
    <definedName name="TUBRIM1" localSheetId="19">#REF!</definedName>
    <definedName name="TUBRIM1" localSheetId="20">#REF!</definedName>
    <definedName name="TUBRIM1" localSheetId="6">#REF!</definedName>
    <definedName name="TUBRIM1" localSheetId="11">#REF!</definedName>
    <definedName name="TUBRIM1" localSheetId="12">#REF!</definedName>
    <definedName name="TUBRIM1" localSheetId="13">#REF!</definedName>
    <definedName name="TUBRIM1">#REF!</definedName>
    <definedName name="TUBRIM2" localSheetId="0">#REF!</definedName>
    <definedName name="TUBRIM2" localSheetId="1">#REF!</definedName>
    <definedName name="TUBRIM2" localSheetId="30">#REF!</definedName>
    <definedName name="TUBRIM2" localSheetId="14">#REF!</definedName>
    <definedName name="TUBRIM2" localSheetId="16">#REF!</definedName>
    <definedName name="TUBRIM2" localSheetId="7">#REF!</definedName>
    <definedName name="TUBRIM2" localSheetId="8">#REF!</definedName>
    <definedName name="TUBRIM2" localSheetId="9">#REF!</definedName>
    <definedName name="TUBRIM2" localSheetId="10">#REF!</definedName>
    <definedName name="TUBRIM2" localSheetId="19">#REF!</definedName>
    <definedName name="TUBRIM2" localSheetId="20">#REF!</definedName>
    <definedName name="TUBRIM2" localSheetId="6">#REF!</definedName>
    <definedName name="TUBRIM2" localSheetId="11">#REF!</definedName>
    <definedName name="TUBRIM2" localSheetId="12">#REF!</definedName>
    <definedName name="TUBRIM2" localSheetId="13">#REF!</definedName>
    <definedName name="TUBRIM2">#REF!</definedName>
    <definedName name="TUBRIM3" localSheetId="0">#REF!</definedName>
    <definedName name="TUBRIM3" localSheetId="1">#REF!</definedName>
    <definedName name="TUBRIM3" localSheetId="30">#REF!</definedName>
    <definedName name="TUBRIM3" localSheetId="14">#REF!</definedName>
    <definedName name="TUBRIM3" localSheetId="16">#REF!</definedName>
    <definedName name="TUBRIM3" localSheetId="7">#REF!</definedName>
    <definedName name="TUBRIM3" localSheetId="8">#REF!</definedName>
    <definedName name="TUBRIM3" localSheetId="9">#REF!</definedName>
    <definedName name="TUBRIM3" localSheetId="10">#REF!</definedName>
    <definedName name="TUBRIM3" localSheetId="19">#REF!</definedName>
    <definedName name="TUBRIM3" localSheetId="20">#REF!</definedName>
    <definedName name="TUBRIM3" localSheetId="6">#REF!</definedName>
    <definedName name="TUBRIM3" localSheetId="11">#REF!</definedName>
    <definedName name="TUBRIM3" localSheetId="12">#REF!</definedName>
    <definedName name="TUBRIM3" localSheetId="13">#REF!</definedName>
    <definedName name="TUBRIM3">#REF!</definedName>
    <definedName name="Tw" localSheetId="1">#REF!</definedName>
    <definedName name="Tw" localSheetId="30">#REF!</definedName>
    <definedName name="TYPE" localSheetId="1">[21]ข้อมูลสะพาน1!$T$5</definedName>
    <definedName name="TYPE" localSheetId="30">[21]ข้อมูลสะพาน1!$T$5</definedName>
    <definedName name="TYPE">[22]ข้อมูลสะพาน1!$T$5</definedName>
    <definedName name="TypeOfWork" localSheetId="1">[8]Sheet1!$A$5</definedName>
    <definedName name="TypeOfWork" localSheetId="30">[8]Sheet1!$A$5</definedName>
    <definedName name="TypeOfWork">[4]Form1!$A$5</definedName>
    <definedName name="Unsuit_Ex" localSheetId="0">#REF!</definedName>
    <definedName name="Unsuit_Ex" localSheetId="1">[17]ค่างานต้นทุนต่อหน่วย!#REF!</definedName>
    <definedName name="Unsuit_Ex" localSheetId="30">[17]ค่างานต้นทุนต่อหน่วย!#REF!</definedName>
    <definedName name="Unsuit_Ex" localSheetId="14">#REF!</definedName>
    <definedName name="Unsuit_Ex" localSheetId="16">#REF!</definedName>
    <definedName name="Unsuit_Ex" localSheetId="7">#REF!</definedName>
    <definedName name="Unsuit_Ex" localSheetId="8">#REF!</definedName>
    <definedName name="Unsuit_Ex" localSheetId="9">#REF!</definedName>
    <definedName name="Unsuit_Ex" localSheetId="10">#REF!</definedName>
    <definedName name="Unsuit_Ex" localSheetId="19">#REF!</definedName>
    <definedName name="Unsuit_Ex" localSheetId="20">#REF!</definedName>
    <definedName name="Unsuit_Ex" localSheetId="6">#REF!</definedName>
    <definedName name="Unsuit_Ex" localSheetId="11">#REF!</definedName>
    <definedName name="Unsuit_Ex" localSheetId="12">#REF!</definedName>
    <definedName name="Unsuit_Ex" localSheetId="13">#REF!</definedName>
    <definedName name="Unsuit_Ex">#REF!</definedName>
    <definedName name="W" localSheetId="1">#REF!</definedName>
    <definedName name="W" localSheetId="30">#REF!</definedName>
    <definedName name="W_Beam_Guardrail" localSheetId="1">[17]ค่างานต้นทุนต่อหน่วย!#REF!</definedName>
    <definedName name="W_Beam_Guardrail" localSheetId="30">[17]ค่างานต้นทุนต่อหน่วย!#REF!</definedName>
    <definedName name="W_Beam_Guardrail">'[19]Cost Estimate'!#REF!</definedName>
    <definedName name="WallTHK1" localSheetId="1">[8]Sheet1!$EG$223</definedName>
    <definedName name="WallTHK1" localSheetId="30">[8]Sheet1!$EG$223</definedName>
    <definedName name="WallTHK1">[4]Form1!$AV$78</definedName>
    <definedName name="WallTHK2" localSheetId="1">[8]Sheet1!$EG$233</definedName>
    <definedName name="WallTHK2" localSheetId="30">[8]Sheet1!$EG$233</definedName>
    <definedName name="WallTHK2">[4]Form1!$AV$88</definedName>
    <definedName name="WallTHK3" localSheetId="1">[8]Sheet1!$EG$242</definedName>
    <definedName name="WallTHK3" localSheetId="30">[8]Sheet1!$EG$242</definedName>
    <definedName name="WallTHK3">[4]Form1!$AV$97</definedName>
    <definedName name="WallTHK4" localSheetId="1">[8]Sheet1!$EG$251</definedName>
    <definedName name="WallTHK4" localSheetId="30">[8]Sheet1!$EG$251</definedName>
    <definedName name="WallTHK4">[4]Form1!$AV$106</definedName>
    <definedName name="WaySideShelter" localSheetId="1">[17]ค่างานต้นทุนต่อหน่วย!#REF!</definedName>
    <definedName name="WaySideShelter" localSheetId="30">[17]ค่างานต้นทุนต่อหน่วย!#REF!</definedName>
    <definedName name="WaySideShelter">'[19]Cost Estimate'!#REF!</definedName>
    <definedName name="wb" localSheetId="1">'[39]10 ข้อมูลวัสดุ-ค่าดำเนิน'!$X$19</definedName>
    <definedName name="wb" localSheetId="30">'[39]10 ข้อมูลวัสดุ-ค่าดำเนิน'!$X$19</definedName>
    <definedName name="wb" localSheetId="29">'[40]10 ข้อมูลวัสดุ-ค่าดำเนิน'!$X$19</definedName>
    <definedName name="wb">'[41]10 ข้อมูลวัสดุ-ค่าดำเนิน'!$X$19</definedName>
    <definedName name="wbb" localSheetId="1">'[39]10 ข้อมูลวัสดุ-ค่าดำเนิน'!$X$19</definedName>
    <definedName name="wbb" localSheetId="30">'[39]10 ข้อมูลวัสดุ-ค่าดำเนิน'!$X$19</definedName>
    <definedName name="wbb" localSheetId="29">'[40]10 ข้อมูลวัสดุ-ค่าดำเนิน'!$X$19</definedName>
    <definedName name="wbb">'[41]10 ข้อมูลวัสดุ-ค่าดำเนิน'!$X$19</definedName>
    <definedName name="WGThick" localSheetId="1">[8]Sheet1!$M$161</definedName>
    <definedName name="WGThick" localSheetId="30">[8]Sheet1!$M$161</definedName>
    <definedName name="WGThick">[4]Form1!$M$159</definedName>
    <definedName name="WORK">[5]ค่าดำเนินการและค่าเสื่อมราคา!$G$6:$AE$82</definedName>
    <definedName name="WT" localSheetId="0">#REF!</definedName>
    <definedName name="WT" localSheetId="1">#REF!</definedName>
    <definedName name="WT" localSheetId="30">#REF!</definedName>
    <definedName name="WT" localSheetId="14">#REF!</definedName>
    <definedName name="WT" localSheetId="16">#REF!</definedName>
    <definedName name="WT" localSheetId="7">#REF!</definedName>
    <definedName name="WT" localSheetId="8">#REF!</definedName>
    <definedName name="WT" localSheetId="9">#REF!</definedName>
    <definedName name="WT" localSheetId="10">#REF!</definedName>
    <definedName name="WT" localSheetId="19">#REF!</definedName>
    <definedName name="WT" localSheetId="20">#REF!</definedName>
    <definedName name="WT" localSheetId="6">#REF!</definedName>
    <definedName name="WT" localSheetId="11">#REF!</definedName>
    <definedName name="WT" localSheetId="12">#REF!</definedName>
    <definedName name="WT" localSheetId="13">#REF!</definedName>
    <definedName name="WT">#REF!</definedName>
    <definedName name="ww" localSheetId="1">'[36]10 ข้อมูลวัสดุ-ค่าดำเนิน'!$X$19</definedName>
    <definedName name="ww" localSheetId="30">'[36]10 ข้อมูลวัสดุ-ค่าดำเนิน'!$X$19</definedName>
    <definedName name="ww" localSheetId="29">'[37]10 ข้อมูลวัสดุ-ค่าดำเนิน'!$X$19</definedName>
    <definedName name="ww">'[38]10 ข้อมูลวัสดุ-ค่าดำเนิน'!$X$19</definedName>
    <definedName name="www" localSheetId="1">#REF!</definedName>
    <definedName name="www" localSheetId="30">#REF!</definedName>
    <definedName name="x">[9]ค่างานต้นทุน!$H$91</definedName>
    <definedName name="Xs">[9]ค่างานต้นทุน!$H$92</definedName>
    <definedName name="xss" localSheetId="0">#REF!</definedName>
    <definedName name="xss" localSheetId="1">#REF!</definedName>
    <definedName name="xss" localSheetId="30">#REF!</definedName>
    <definedName name="xss" localSheetId="14">#REF!</definedName>
    <definedName name="xss" localSheetId="16">#REF!</definedName>
    <definedName name="xss" localSheetId="7">#REF!</definedName>
    <definedName name="xss" localSheetId="8">#REF!</definedName>
    <definedName name="xss" localSheetId="9">#REF!</definedName>
    <definedName name="xss" localSheetId="10">#REF!</definedName>
    <definedName name="xss" localSheetId="19">#REF!</definedName>
    <definedName name="xss" localSheetId="20">#REF!</definedName>
    <definedName name="xss" localSheetId="6">#REF!</definedName>
    <definedName name="xss" localSheetId="11">#REF!</definedName>
    <definedName name="xss" localSheetId="12">#REF!</definedName>
    <definedName name="xss" localSheetId="13">#REF!</definedName>
    <definedName name="xss">#REF!</definedName>
    <definedName name="xx" localSheetId="1">'[11]11 ข้อมูลงานCon'!$AB$30</definedName>
    <definedName name="xx" localSheetId="30">'[11]11 ข้อมูลงานCon'!$AB$30</definedName>
    <definedName name="xx">'[12]11 ข้อมูลงานCon'!$AB$30</definedName>
    <definedName name="Y">[9]ค่างานต้นทุน!$H$86</definedName>
    <definedName name="Yp">[9]ค่างานต้นทุน!$H$85</definedName>
    <definedName name="Ys">[9]ค่างานต้นทุน!$H$84</definedName>
    <definedName name="yy" localSheetId="1">'[11]10 ข้อมูลวัสดุ-ค่าดำเนิน'!$X$15</definedName>
    <definedName name="yy" localSheetId="30">'[11]10 ข้อมูลวัสดุ-ค่าดำเนิน'!$X$15</definedName>
    <definedName name="yy">'[12]10 ข้อมูลวัสดุ-ค่าดำเนิน'!$X$15</definedName>
    <definedName name="Z" localSheetId="1">'[31]Cal Fto'!#REF!</definedName>
    <definedName name="Z" localSheetId="30">'[31]Cal Fto'!#REF!</definedName>
    <definedName name="Z_ABF0D9BD_58B5_4E6F_8856_48197BAA59A1_.wvu.Cols" localSheetId="11" hidden="1">ไม้แบบ!#REF!,ไม้แบบ!$M:$M</definedName>
    <definedName name="ZincQ" localSheetId="1">[8]Sheet1!$N$161</definedName>
    <definedName name="ZincQ" localSheetId="30">[8]Sheet1!$N$161</definedName>
    <definedName name="ZincQ">[4]Form1!$N$159</definedName>
    <definedName name="กก231" localSheetId="1">#REF!</definedName>
    <definedName name="กก231" localSheetId="30">#REF!</definedName>
    <definedName name="กม." localSheetId="1">[7]ค่างานต้นทุน!$H$490</definedName>
    <definedName name="กม." localSheetId="30">[7]ค่างานต้นทุน!$H$490</definedName>
    <definedName name="กม.">[6]ค่างานต้นทุน!$H$490</definedName>
    <definedName name="กรุย" localSheetId="1">[7]ค่างานต้นทุน!$H$5</definedName>
    <definedName name="กรุย" localSheetId="30">[7]ค่างานต้นทุน!$H$5</definedName>
    <definedName name="กรุย">[6]ค่างานต้นทุน!$H$5</definedName>
    <definedName name="กรุยทาง">[9]ข้อมูลขนส่ง!$F$2</definedName>
    <definedName name="กว้าง12" localSheetId="1">'[21]Multi_Box 1'!$B$51</definedName>
    <definedName name="กว้าง12" localSheetId="30">'[21]Multi_Box 1'!$B$51</definedName>
    <definedName name="กว้าง12">'[22]Multi_Box 1'!$B$51</definedName>
    <definedName name="กว้างผิวจราจร" localSheetId="1">[28]ข้อมูลโครงการ!$P$28</definedName>
    <definedName name="กว้างผิวจราจร" localSheetId="30">[28]ข้อมูลโครงการ!$P$28</definedName>
    <definedName name="กว้างผิวจราจร">[19]ข้อมูลโครงการ!$P$28</definedName>
    <definedName name="ค2" localSheetId="0">#REF!</definedName>
    <definedName name="ค2" localSheetId="1">[46]รายการประมาณราคาต่อหน่วย!#REF!</definedName>
    <definedName name="ค2" localSheetId="30">[46]รายการประมาณราคาต่อหน่วย!#REF!</definedName>
    <definedName name="ค2" localSheetId="14">#REF!</definedName>
    <definedName name="ค2" localSheetId="16">#REF!</definedName>
    <definedName name="ค2" localSheetId="7">#REF!</definedName>
    <definedName name="ค2" localSheetId="8">#REF!</definedName>
    <definedName name="ค2" localSheetId="9">#REF!</definedName>
    <definedName name="ค2" localSheetId="10">#REF!</definedName>
    <definedName name="ค2" localSheetId="19">#REF!</definedName>
    <definedName name="ค2" localSheetId="20">#REF!</definedName>
    <definedName name="ค2" localSheetId="6">#REF!</definedName>
    <definedName name="ค2" localSheetId="11">#REF!</definedName>
    <definedName name="ค2" localSheetId="12">#REF!</definedName>
    <definedName name="ค2" localSheetId="13">#REF!</definedName>
    <definedName name="ค2">#REF!</definedName>
    <definedName name="ค222" localSheetId="1">[59]รายการประมาณราคาต่อหน่วย!#REF!</definedName>
    <definedName name="ค222" localSheetId="30">[59]รายการประมาณราคาต่อหน่วย!#REF!</definedName>
    <definedName name="ค222">[60]รายการประมาณราคาต่อหน่วย!#REF!</definedName>
    <definedName name="ค2สะพาน">'[10]ต้นทุนcon,steel&amp;แบบ'!$J$141</definedName>
    <definedName name="ค3" localSheetId="0">#REF!</definedName>
    <definedName name="ค3" localSheetId="1">[46]รายการประมาณราคาต่อหน่วย!#REF!</definedName>
    <definedName name="ค3" localSheetId="30">[46]รายการประมาณราคาต่อหน่วย!#REF!</definedName>
    <definedName name="ค3" localSheetId="14">#REF!</definedName>
    <definedName name="ค3" localSheetId="16">#REF!</definedName>
    <definedName name="ค3" localSheetId="7">#REF!</definedName>
    <definedName name="ค3" localSheetId="8">#REF!</definedName>
    <definedName name="ค3" localSheetId="9">#REF!</definedName>
    <definedName name="ค3" localSheetId="10">#REF!</definedName>
    <definedName name="ค3" localSheetId="19">#REF!</definedName>
    <definedName name="ค3" localSheetId="20">#REF!</definedName>
    <definedName name="ค3" localSheetId="6">#REF!</definedName>
    <definedName name="ค3" localSheetId="11">#REF!</definedName>
    <definedName name="ค3" localSheetId="12">#REF!</definedName>
    <definedName name="ค3" localSheetId="13">#REF!</definedName>
    <definedName name="ค3">#REF!</definedName>
    <definedName name="ค3สะพาน" localSheetId="1">[23]หมวดโครงสร้าง!$P$45</definedName>
    <definedName name="ค3สะพาน" localSheetId="30">[23]หมวดโครงสร้าง!$P$45</definedName>
    <definedName name="ค3สะพาน">[24]หมวดโครงสร้าง!$P$45</definedName>
    <definedName name="ค4" localSheetId="1">[23]หมวดโครงสร้าง!#REF!</definedName>
    <definedName name="ค4" localSheetId="30">[23]หมวดโครงสร้าง!#REF!</definedName>
    <definedName name="ค4">[24]หมวดโครงสร้าง!#REF!</definedName>
    <definedName name="ค4สะพาน">'[10]ต้นทุนcon,steel&amp;แบบ'!$J$157</definedName>
    <definedName name="คอนกรีตหยาบ" localSheetId="0">#REF!</definedName>
    <definedName name="คอนกรีตหยาบ" localSheetId="1">#REF!</definedName>
    <definedName name="คอนกรีตหยาบ" localSheetId="30">#REF!</definedName>
    <definedName name="คอนกรีตหยาบ" localSheetId="14">#REF!</definedName>
    <definedName name="คอนกรีตหยาบ" localSheetId="16">#REF!</definedName>
    <definedName name="คอนกรีตหยาบ" localSheetId="7">#REF!</definedName>
    <definedName name="คอนกรีตหยาบ" localSheetId="8">#REF!</definedName>
    <definedName name="คอนกรีตหยาบ" localSheetId="9">#REF!</definedName>
    <definedName name="คอนกรีตหยาบ" localSheetId="10">#REF!</definedName>
    <definedName name="คอนกรีตหยาบ" localSheetId="19">#REF!</definedName>
    <definedName name="คอนกรีตหยาบ" localSheetId="20">#REF!</definedName>
    <definedName name="คอนกรีตหยาบ" localSheetId="6">#REF!</definedName>
    <definedName name="คอนกรีตหยาบ" localSheetId="11">#REF!</definedName>
    <definedName name="คอนกรีตหยาบ" localSheetId="12">#REF!</definedName>
    <definedName name="คอนกรีตหยาบ" localSheetId="13">#REF!</definedName>
    <definedName name="คอนกรีตหยาบ">#REF!</definedName>
    <definedName name="ค่า" localSheetId="0">'2.ข้อมูลวัสดุ'!S-[61]CURVE!$I$133</definedName>
    <definedName name="ค่า" localSheetId="1">#N/A</definedName>
    <definedName name="ค่า" localSheetId="30">#N/A</definedName>
    <definedName name="ค่า" localSheetId="14">คิดตอม่อโซล่า!S-[61]CURVE!$I$133</definedName>
    <definedName name="ค่า" localSheetId="31">S-[61]CURVE!$I$133</definedName>
    <definedName name="ค่า" localSheetId="28">S-[61]CURVE!$I$133</definedName>
    <definedName name="ค่า" localSheetId="16">'ปร4 ครุภัณฑ์'!S-[61]CURVE!$I$133</definedName>
    <definedName name="ค่า" localSheetId="7">'ปร4 ครุภัณฑ์โซล่าเซลล์'!S-[61]CURVE!$I$133</definedName>
    <definedName name="ค่า" localSheetId="8">'ปร4 โครงสร้างโซล่าเซลล์'!S-[61]CURVE!$I$133</definedName>
    <definedName name="ค่า" localSheetId="9">'ปร4 โครงสร้างหอถัง'!S-[61]CURVE!$I$133</definedName>
    <definedName name="ค่า" localSheetId="10">'ปร5 กทั้งหมด'!S-[61]CURVE!$I$133</definedName>
    <definedName name="ค่า" localSheetId="19">'ปร5 ข ครุภัณฑ์'!S-[61]CURVE!$I$133</definedName>
    <definedName name="ค่า" localSheetId="20">'ปร6 (อาร์ม)'!S-[61]CURVE!$I$133</definedName>
    <definedName name="ค่า" localSheetId="6">ประปา!S-[61]CURVE!$I$133</definedName>
    <definedName name="ค่า" localSheetId="21">S-[61]CURVE!$I$133</definedName>
    <definedName name="ค่า" localSheetId="11">ไม้แบบ!S-[61]CURVE!$I$133</definedName>
    <definedName name="ค่า" localSheetId="12">'วัสดุมวลรวมก่ออิฐฉาบปูน (2)'!S-[61]CURVE!$I$133</definedName>
    <definedName name="ค่า" localSheetId="13">'วัสดุมวลรวมทาสีอาคาร  (2)'!S-[61]CURVE!$I$133</definedName>
    <definedName name="ค่า" localSheetId="25">S-[61]CURVE!$I$133</definedName>
    <definedName name="ค่า">S-[61]CURVE!$I$133</definedName>
    <definedName name="ค่าขนส่งL100x100x6" localSheetId="1">[8]Sheet1!$S$63</definedName>
    <definedName name="ค่าขนส่งL100x100x6" localSheetId="30">[8]Sheet1!$S$63</definedName>
    <definedName name="ค่าขนส่งL100x100x6">'[19]ราคาวัสดุที่แหล่ง+ระยะขนส่ง'!#REF!</definedName>
    <definedName name="ค่าขนส่งL50x50x4" localSheetId="1">[8]Sheet1!$S$61</definedName>
    <definedName name="ค่าขนส่งL50x50x4" localSheetId="30">[8]Sheet1!$S$61</definedName>
    <definedName name="ค่าขนส่งL50x50x4">'[19]ราคาวัสดุที่แหล่ง+ระยะขนส่ง'!#REF!</definedName>
    <definedName name="ค่าขนส่งL50x50x6" localSheetId="1">[8]Sheet1!$S$62</definedName>
    <definedName name="ค่าขนส่งL50x50x6" localSheetId="30">[8]Sheet1!$S$62</definedName>
    <definedName name="ค่าขนส่งL50x50x6">'[19]ราคาวัสดุที่แหล่ง+ระยะขนส่ง'!#REF!</definedName>
    <definedName name="ค่าขนส่งSteelSleeve1\8" localSheetId="1">[8]Sheet1!$S$71</definedName>
    <definedName name="ค่าขนส่งSteelSleeve1\8" localSheetId="30">[8]Sheet1!$S$71</definedName>
    <definedName name="ค่าขนส่งSteelSleeve1\8">'[19]ราคาวัสดุที่แหล่ง+ระยะขนส่ง'!#REF!</definedName>
    <definedName name="ค่าขนส่งปูน" localSheetId="1">[46]ข้อมูลโครงการ!$Q$53</definedName>
    <definedName name="ค่าขนส่งปูน" localSheetId="30">[46]ข้อมูลโครงการ!$Q$53</definedName>
    <definedName name="ค่าขนส่งปูน" localSheetId="29">[62]ข้อมูลโครงการ!$Q$53</definedName>
    <definedName name="ค่าขนส่งปูน">[63]ข้อมูลโครงการ!$Q$53</definedName>
    <definedName name="ค่าขนส่งเหล็กแผ่น1\8x10" localSheetId="1">[8]Sheet1!$S$70</definedName>
    <definedName name="ค่าขนส่งเหล็กแผ่น1\8x10" localSheetId="30">[8]Sheet1!$S$70</definedName>
    <definedName name="ค่าขนส่งเหล็กแผ่น1\8x10">'[19]ราคาวัสดุที่แหล่ง+ระยะขนส่ง'!#REF!</definedName>
    <definedName name="ค่าขนส่งเหล็กแผ่น12x10" localSheetId="1">[8]Sheet1!$S$67</definedName>
    <definedName name="ค่าขนส่งเหล็กแผ่น12x10" localSheetId="30">[8]Sheet1!$S$67</definedName>
    <definedName name="ค่าขนส่งเหล็กแผ่น12x10">'[19]ราคาวัสดุที่แหล่ง+ระยะขนส่ง'!#REF!</definedName>
    <definedName name="ค่าขนส่งเหล็กแผ่น12x7.5" localSheetId="1">[8]Sheet1!$S$64</definedName>
    <definedName name="ค่าขนส่งเหล็กแผ่น12x7.5" localSheetId="30">[8]Sheet1!$S$64</definedName>
    <definedName name="ค่าขนส่งเหล็กแผ่น12x7.5">'[19]ราคาวัสดุที่แหล่ง+ระยะขนส่ง'!#REF!</definedName>
    <definedName name="ค่าขนส่งเหล็กแผ่น9x10" localSheetId="1">[8]Sheet1!$S$66</definedName>
    <definedName name="ค่าขนส่งเหล็กแผ่น9x10" localSheetId="30">[8]Sheet1!$S$66</definedName>
    <definedName name="ค่าขนส่งเหล็กแผ่น9x10">'[19]ราคาวัสดุที่แหล่ง+ระยะขนส่ง'!#REF!</definedName>
    <definedName name="ค่าขนส่งเหล็กแผ่น9x7.5" localSheetId="1">[8]Sheet1!$S$65</definedName>
    <definedName name="ค่าขนส่งเหล็กแผ่น9x7.5" localSheetId="30">[8]Sheet1!$S$65</definedName>
    <definedName name="ค่าขนส่งเหล็กแผ่น9x7.5">'[19]ราคาวัสดุที่แหล่ง+ระยะขนส่ง'!#REF!</definedName>
    <definedName name="ค่างานเกลี่ยแต่งทางเดิม" localSheetId="0">#REF!</definedName>
    <definedName name="ค่างานเกลี่ยแต่งทางเดิม" localSheetId="1">#REF!</definedName>
    <definedName name="ค่างานเกลี่ยแต่งทางเดิม" localSheetId="30">#REF!</definedName>
    <definedName name="ค่างานเกลี่ยแต่งทางเดิม" localSheetId="14">#REF!</definedName>
    <definedName name="ค่างานเกลี่ยแต่งทางเดิม" localSheetId="16">#REF!</definedName>
    <definedName name="ค่างานเกลี่ยแต่งทางเดิม" localSheetId="7">#REF!</definedName>
    <definedName name="ค่างานเกลี่ยแต่งทางเดิม" localSheetId="8">#REF!</definedName>
    <definedName name="ค่างานเกลี่ยแต่งทางเดิม" localSheetId="9">#REF!</definedName>
    <definedName name="ค่างานเกลี่ยแต่งทางเดิม" localSheetId="10">#REF!</definedName>
    <definedName name="ค่างานเกลี่ยแต่งทางเดิม" localSheetId="19">#REF!</definedName>
    <definedName name="ค่างานเกลี่ยแต่งทางเดิม" localSheetId="20">#REF!</definedName>
    <definedName name="ค่างานเกลี่ยแต่งทางเดิม" localSheetId="6">#REF!</definedName>
    <definedName name="ค่างานเกลี่ยแต่งทางเดิม" localSheetId="11">#REF!</definedName>
    <definedName name="ค่างานเกลี่ยแต่งทางเดิม" localSheetId="12">#REF!</definedName>
    <definedName name="ค่างานเกลี่ยแต่งทางเดิม" localSheetId="13">#REF!</definedName>
    <definedName name="ค่างานเกลี่ยแต่งทางเดิม">#REF!</definedName>
    <definedName name="ค่าแรงคนงาน" localSheetId="1">[8]Sheet1!$H$48</definedName>
    <definedName name="ค่าแรงคนงาน" localSheetId="30">[8]Sheet1!$H$48</definedName>
    <definedName name="ค่าแรงคนงาน">[4]ได้งานตีเส้น!$H$48</definedName>
    <definedName name="ค่าแรงเหล็กเสริม">[10]ข้อมูล!$AM$19</definedName>
    <definedName name="เครื่องกระเทาะ" localSheetId="1">[8]Sheet1!$H$40</definedName>
    <definedName name="เครื่องกระเทาะ" localSheetId="30">[8]Sheet1!$H$40</definedName>
    <definedName name="เครื่องกระเทาะ">[4]ได้งานตีเส้น!$H$40</definedName>
    <definedName name="จังหวัด">'[20]ข้อมูลภูมิอากาศ ข้อมูลขนส่ง'!$AP$8:$AP$27</definedName>
    <definedName name="ชนิดรถขนส่งปูน" localSheetId="1">'[28]ข้อมูลโครงการ (2)'!$Q$37</definedName>
    <definedName name="ชนิดรถขนส่งปูน" localSheetId="30">'[28]ข้อมูลโครงการ (2)'!$Q$37</definedName>
    <definedName name="ชนิดรถขนส่งปูน">'[19]ข้อมูลโครงการ (2)'!$Q$37</definedName>
    <definedName name="ช่อง" localSheetId="1">'[21]Multi_Box 1'!$H$70</definedName>
    <definedName name="ช่อง" localSheetId="30">'[21]Multi_Box 1'!$H$70</definedName>
    <definedName name="ช่อง">'[22]Multi_Box 1'!$H$70</definedName>
    <definedName name="ดเ" localSheetId="0">#REF!</definedName>
    <definedName name="ดเ" localSheetId="1">#REF!</definedName>
    <definedName name="ดเ" localSheetId="30">#REF!</definedName>
    <definedName name="ดเ" localSheetId="14">#REF!</definedName>
    <definedName name="ดเ" localSheetId="16">#REF!</definedName>
    <definedName name="ดเ" localSheetId="7">#REF!</definedName>
    <definedName name="ดเ" localSheetId="8">#REF!</definedName>
    <definedName name="ดเ" localSheetId="9">#REF!</definedName>
    <definedName name="ดเ" localSheetId="10">#REF!</definedName>
    <definedName name="ดเ" localSheetId="19">#REF!</definedName>
    <definedName name="ดเ" localSheetId="20">#REF!</definedName>
    <definedName name="ดเ" localSheetId="6">#REF!</definedName>
    <definedName name="ดเ" localSheetId="11">#REF!</definedName>
    <definedName name="ดเ" localSheetId="12">#REF!</definedName>
    <definedName name="ดเ" localSheetId="13">#REF!</definedName>
    <definedName name="ดเ">#REF!</definedName>
    <definedName name="ดินถม" localSheetId="0">#REF!</definedName>
    <definedName name="ดินถม" localSheetId="1">#REF!</definedName>
    <definedName name="ดินถม" localSheetId="30">#REF!</definedName>
    <definedName name="ดินถม" localSheetId="14">#REF!</definedName>
    <definedName name="ดินถม" localSheetId="16">#REF!</definedName>
    <definedName name="ดินถม" localSheetId="7">#REF!</definedName>
    <definedName name="ดินถม" localSheetId="8">#REF!</definedName>
    <definedName name="ดินถม" localSheetId="9">#REF!</definedName>
    <definedName name="ดินถม" localSheetId="10">#REF!</definedName>
    <definedName name="ดินถม" localSheetId="19">#REF!</definedName>
    <definedName name="ดินถม" localSheetId="20">#REF!</definedName>
    <definedName name="ดินถม" localSheetId="6">#REF!</definedName>
    <definedName name="ดินถม" localSheetId="11">#REF!</definedName>
    <definedName name="ดินถม" localSheetId="12">#REF!</definedName>
    <definedName name="ดินถม" localSheetId="13">#REF!</definedName>
    <definedName name="ดินถม">#REF!</definedName>
    <definedName name="ต1_60" localSheetId="1">[7]ค่างานต้นทุน!$H$301</definedName>
    <definedName name="ต1_60" localSheetId="30">[7]ค่างานต้นทุน!$H$301</definedName>
    <definedName name="ต1_60">[6]ค่างานต้นทุน!$H$301</definedName>
    <definedName name="ต1_ต46">[9]ค่างานต้นทุน!$H$267</definedName>
    <definedName name="ต1ต76" localSheetId="1">[7]ค่างานต้นทุน!$H$356</definedName>
    <definedName name="ต1ต76" localSheetId="30">[7]ค่างานต้นทุน!$H$356</definedName>
    <definedName name="ต1ต76">[6]ค่างานต้นทุน!$H$356</definedName>
    <definedName name="ต47_ต48">[9]ค่างานต้นทุน!$H$272</definedName>
    <definedName name="ต61" localSheetId="1">[7]ค่างานต้นทุน!$H$306</definedName>
    <definedName name="ต61" localSheetId="30">[7]ค่างานต้นทุน!$H$306</definedName>
    <definedName name="ต61">[6]ค่างานต้นทุน!$H$306</definedName>
    <definedName name="ต63" localSheetId="1">[7]ค่างานต้นทุน!$H$311</definedName>
    <definedName name="ต63" localSheetId="30">[7]ค่างานต้นทุน!$H$311</definedName>
    <definedName name="ต63">[6]ค่างานต้นทุน!$H$311</definedName>
    <definedName name="ต64" localSheetId="1">[7]ค่างานต้นทุน!$H$316</definedName>
    <definedName name="ต64" localSheetId="30">[7]ค่างานต้นทุน!$H$316</definedName>
    <definedName name="ต64">[6]ค่างานต้นทุน!$H$316</definedName>
    <definedName name="ต65" localSheetId="1">[7]ค่างานต้นทุน!$H$321</definedName>
    <definedName name="ต65" localSheetId="30">[7]ค่างานต้นทุน!$H$321</definedName>
    <definedName name="ต65">[6]ค่างานต้นทุน!$H$321</definedName>
    <definedName name="ต69" localSheetId="1">[7]ค่างานต้นทุน!$H$326</definedName>
    <definedName name="ต69" localSheetId="30">[7]ค่างานต้นทุน!$H$326</definedName>
    <definedName name="ต69">[6]ค่างานต้นทุน!$H$326</definedName>
    <definedName name="ต71" localSheetId="1">[7]ค่างานต้นทุน!$H$331</definedName>
    <definedName name="ต71" localSheetId="30">[7]ค่างานต้นทุน!$H$331</definedName>
    <definedName name="ต71">[6]ค่างานต้นทุน!$H$331</definedName>
    <definedName name="ต74" localSheetId="1">[7]ค่างานต้นทุน!$H$336</definedName>
    <definedName name="ต74" localSheetId="30">[7]ค่างานต้นทุน!$H$336</definedName>
    <definedName name="ต74">[6]ค่างานต้นทุน!$H$336</definedName>
    <definedName name="ต76" localSheetId="1">[7]ค่างานต้นทุน!$H$341</definedName>
    <definedName name="ต76" localSheetId="30">[7]ค่างานต้นทุน!$H$341</definedName>
    <definedName name="ต76">[6]ค่างานต้นทุน!$H$341</definedName>
    <definedName name="ต77" localSheetId="1">[7]ค่างานต้นทุน!$H$346</definedName>
    <definedName name="ต77" localSheetId="30">[7]ค่างานต้นทุน!$H$346</definedName>
    <definedName name="ต77">[6]ค่างานต้นทุน!$H$346</definedName>
    <definedName name="ต78" localSheetId="1">[7]ค่างานต้นทุน!$H$351</definedName>
    <definedName name="ต78" localSheetId="30">[7]ค่างานต้นทุน!$H$351</definedName>
    <definedName name="ต78">[6]ค่างานต้นทุน!$H$351</definedName>
    <definedName name="ติดตั้งป้ายจราจร" localSheetId="1">[8]Sheet1!$H$46</definedName>
    <definedName name="ติดตั้งป้ายจราจร" localSheetId="30">[8]Sheet1!$H$46</definedName>
    <definedName name="ติดตั้งป้ายจราจร">[4]ได้งานตีเส้น!$H$46</definedName>
    <definedName name="ทดสอบ">"Option Button 4,Option Button 3,Option Button 2"</definedName>
    <definedName name="ทรายถม" localSheetId="0">#REF!</definedName>
    <definedName name="ทรายถม" localSheetId="1">#REF!</definedName>
    <definedName name="ทรายถม" localSheetId="30">#REF!</definedName>
    <definedName name="ทรายถม" localSheetId="14">#REF!</definedName>
    <definedName name="ทรายถม" localSheetId="16">#REF!</definedName>
    <definedName name="ทรายถม" localSheetId="7">#REF!</definedName>
    <definedName name="ทรายถม" localSheetId="8">#REF!</definedName>
    <definedName name="ทรายถม" localSheetId="9">#REF!</definedName>
    <definedName name="ทรายถม" localSheetId="10">#REF!</definedName>
    <definedName name="ทรายถม" localSheetId="19">#REF!</definedName>
    <definedName name="ทรายถม" localSheetId="20">#REF!</definedName>
    <definedName name="ทรายถม" localSheetId="6">#REF!</definedName>
    <definedName name="ทรายถม" localSheetId="11">#REF!</definedName>
    <definedName name="ทรายถม" localSheetId="12">#REF!</definedName>
    <definedName name="ทรายถม" localSheetId="13">#REF!</definedName>
    <definedName name="ทรายถม">#REF!</definedName>
    <definedName name="ทรายผสม" localSheetId="0">#REF!</definedName>
    <definedName name="ทรายผสม" localSheetId="1">#REF!</definedName>
    <definedName name="ทรายผสม" localSheetId="30">#REF!</definedName>
    <definedName name="ทรายผสม" localSheetId="14">#REF!</definedName>
    <definedName name="ทรายผสม" localSheetId="16">#REF!</definedName>
    <definedName name="ทรายผสม" localSheetId="7">#REF!</definedName>
    <definedName name="ทรายผสม" localSheetId="8">#REF!</definedName>
    <definedName name="ทรายผสม" localSheetId="9">#REF!</definedName>
    <definedName name="ทรายผสม" localSheetId="10">#REF!</definedName>
    <definedName name="ทรายผสม" localSheetId="19">#REF!</definedName>
    <definedName name="ทรายผสม" localSheetId="20">#REF!</definedName>
    <definedName name="ทรายผสม" localSheetId="6">#REF!</definedName>
    <definedName name="ทรายผสม" localSheetId="11">#REF!</definedName>
    <definedName name="ทรายผสม" localSheetId="12">#REF!</definedName>
    <definedName name="ทรายผสม" localSheetId="13">#REF!</definedName>
    <definedName name="ทรายผสม">#REF!</definedName>
    <definedName name="ทรายหยาบ" localSheetId="1">[23]สรุปข้อมูลประมาณราคา!$N$14</definedName>
    <definedName name="ทรายหยาบ" localSheetId="30">[23]สรุปข้อมูลประมาณราคา!$N$14</definedName>
    <definedName name="ทรายหยาบ">[24]สรุปข้อมูลประมาณราคา!$N$14</definedName>
    <definedName name="น" localSheetId="0">#REF!</definedName>
    <definedName name="น" localSheetId="1">#REF!</definedName>
    <definedName name="น" localSheetId="30">#REF!</definedName>
    <definedName name="น" localSheetId="14">#REF!</definedName>
    <definedName name="น" localSheetId="16">#REF!</definedName>
    <definedName name="น" localSheetId="7">#REF!</definedName>
    <definedName name="น" localSheetId="8">#REF!</definedName>
    <definedName name="น" localSheetId="9">#REF!</definedName>
    <definedName name="น" localSheetId="10">#REF!</definedName>
    <definedName name="น" localSheetId="19">#REF!</definedName>
    <definedName name="น" localSheetId="20">#REF!</definedName>
    <definedName name="น" localSheetId="6">#REF!</definedName>
    <definedName name="น" localSheetId="11">#REF!</definedName>
    <definedName name="น" localSheetId="12">#REF!</definedName>
    <definedName name="น" localSheetId="13">#REF!</definedName>
    <definedName name="น">#REF!</definedName>
    <definedName name="น1" localSheetId="1">[7]ค่างานต้นทุน!$H$361</definedName>
    <definedName name="น1" localSheetId="30">[7]ค่างานต้นทุน!$H$361</definedName>
    <definedName name="น1">[6]ค่างานต้นทุน!$H$361</definedName>
    <definedName name="น1น2_1" localSheetId="1">[7]ค่างานต้นทุน!$H$366</definedName>
    <definedName name="น1น2_1" localSheetId="30">[7]ค่างานต้นทุน!$H$366</definedName>
    <definedName name="น1น2_1">[6]ค่างานต้นทุน!$H$366</definedName>
    <definedName name="น1น2_2" localSheetId="1">[7]ค่างานต้นทุน!$H$371</definedName>
    <definedName name="น1น2_2" localSheetId="30">[7]ค่างานต้นทุน!$H$371</definedName>
    <definedName name="น1น2_2">[6]ค่างานต้นทุน!$H$371</definedName>
    <definedName name="น1น2_3" localSheetId="1">[7]ค่างานต้นทุน!$H$376</definedName>
    <definedName name="น1น2_3" localSheetId="30">[7]ค่างานต้นทุน!$H$376</definedName>
    <definedName name="น1น2_3">[6]ค่างานต้นทุน!$H$376</definedName>
    <definedName name="น2">[9]ค่างานต้นทุน!$H$308</definedName>
    <definedName name="น3" localSheetId="1">[7]ค่างานต้นทุน!$H$381</definedName>
    <definedName name="น3" localSheetId="30">[7]ค่างานต้นทุน!$H$381</definedName>
    <definedName name="น3">[6]ค่างานต้นทุน!$H$381</definedName>
    <definedName name="น4" localSheetId="1">[7]ค่างานต้นทุน!$H$386</definedName>
    <definedName name="น4" localSheetId="30">[7]ค่างานต้นทุน!$H$386</definedName>
    <definedName name="น4">[6]ค่างานต้นทุน!$H$386</definedName>
    <definedName name="น5" localSheetId="1">[7]ค่างานต้นทุน!$H$391</definedName>
    <definedName name="น5" localSheetId="30">[7]ค่างานต้นทุน!$H$391</definedName>
    <definedName name="น5">[6]ค่างานต้นทุน!$H$391</definedName>
    <definedName name="นั่งร้านเสาเข็ม" localSheetId="1">[23]หมวดโครงสร้าง!$P$17</definedName>
    <definedName name="นั่งร้านเสาเข็ม" localSheetId="30">[23]หมวดโครงสร้าง!$P$17</definedName>
    <definedName name="นั่งร้านเสาเข็ม">[24]หมวดโครงสร้าง!$P$17</definedName>
    <definedName name="น้ำมันโซล่าเฉลี่ย" localSheetId="1">[21]ขนส่งวัสดุใช้!$C$1</definedName>
    <definedName name="น้ำมันโซล่าเฉลี่ย" localSheetId="30">[21]ขนส่งวัสดุใช้!$C$1</definedName>
    <definedName name="น้ำมันโซล่าเฉลี่ย">[22]ขนส่งวัสดุใช้!$C$1</definedName>
    <definedName name="บ_ต" localSheetId="1">[7]ค่างานต้นทุน!$H$462</definedName>
    <definedName name="บ_ต" localSheetId="30">[7]ค่างานต้นทุน!$H$462</definedName>
    <definedName name="บ_ต">[6]ค่างานต้นทุน!$H$462</definedName>
    <definedName name="บ1" localSheetId="1">[7]ค่างานต้นทุน!$H$286</definedName>
    <definedName name="บ1" localSheetId="30">[7]ค่างานต้นทุน!$H$286</definedName>
    <definedName name="บ1">[6]ค่างานต้นทุน!$H$286</definedName>
    <definedName name="บ2" localSheetId="1">[7]ค่างานต้นทุน!$H$291</definedName>
    <definedName name="บ2" localSheetId="30">[7]ค่างานต้นทุน!$H$291</definedName>
    <definedName name="บ2">[6]ค่างานต้นทุน!$H$291</definedName>
    <definedName name="บ3_36" localSheetId="1">[7]ค่างานต้นทุน!$H$296</definedName>
    <definedName name="บ3_36" localSheetId="30">[7]ค่างานต้นทุน!$H$296</definedName>
    <definedName name="บ3_36">[6]ค่างานต้นทุน!$H$296</definedName>
    <definedName name="บ3_บ36">[9]ค่างานต้นทุน!$H$262</definedName>
    <definedName name="ป">[9]ค่างานต้นทุน!$H$207</definedName>
    <definedName name="ประจำสัปดาห์6">'[20]ค่าเสื่อมราคา '!#REF!</definedName>
    <definedName name="ปรับ" localSheetId="1">[7]ค่างานต้นทุน!$H$7</definedName>
    <definedName name="ปรับ" localSheetId="30">[7]ค่างานต้นทุน!$H$7</definedName>
    <definedName name="ปรับ">[6]ค่างานต้นทุน!$H$7</definedName>
    <definedName name="ปากท่อ1_100" localSheetId="1">[7]ค่างานต้นทุน!$H$553</definedName>
    <definedName name="ปากท่อ1_100" localSheetId="30">[7]ค่างานต้นทุน!$H$553</definedName>
    <definedName name="ปากท่อ1_100">[6]ค่างานต้นทุน!$H$553</definedName>
    <definedName name="ปากท่อ1_120" localSheetId="1">[7]ค่างานต้นทุน!$H$574</definedName>
    <definedName name="ปากท่อ1_120" localSheetId="30">[7]ค่างานต้นทุน!$H$574</definedName>
    <definedName name="ปากท่อ1_120">[6]ค่างานต้นทุน!$H$574</definedName>
    <definedName name="ปากท่อ1_60" localSheetId="1">[7]ค่างานต้นทุน!$H$511</definedName>
    <definedName name="ปากท่อ1_60" localSheetId="30">[7]ค่างานต้นทุน!$H$511</definedName>
    <definedName name="ปากท่อ1_60">[6]ค่างานต้นทุน!$H$511</definedName>
    <definedName name="ปากท่อ1_80" localSheetId="1">[7]ค่างานต้นทุน!$H$532</definedName>
    <definedName name="ปากท่อ1_80" localSheetId="30">[7]ค่างานต้นทุน!$H$532</definedName>
    <definedName name="ปากท่อ1_80">[6]ค่างานต้นทุน!$H$532</definedName>
    <definedName name="ปากท่อ2_100" localSheetId="1">[7]ค่างานต้นทุน!$H$560</definedName>
    <definedName name="ปากท่อ2_100" localSheetId="30">[7]ค่างานต้นทุน!$H$560</definedName>
    <definedName name="ปากท่อ2_100">[6]ค่างานต้นทุน!$H$560</definedName>
    <definedName name="ปากท่อ2_120" localSheetId="1">[7]ค่างานต้นทุน!$H$581</definedName>
    <definedName name="ปากท่อ2_120" localSheetId="30">[7]ค่างานต้นทุน!$H$581</definedName>
    <definedName name="ปากท่อ2_120">[6]ค่างานต้นทุน!$H$581</definedName>
    <definedName name="ปากท่อ2_60" localSheetId="1">[7]ค่างานต้นทุน!$H$518</definedName>
    <definedName name="ปากท่อ2_60" localSheetId="30">[7]ค่างานต้นทุน!$H$518</definedName>
    <definedName name="ปากท่อ2_60">[6]ค่างานต้นทุน!$H$518</definedName>
    <definedName name="ปากท่อ2_80" localSheetId="1">[7]ค่างานต้นทุน!$H$539</definedName>
    <definedName name="ปากท่อ2_80" localSheetId="30">[7]ค่างานต้นทุน!$H$539</definedName>
    <definedName name="ปากท่อ2_80">[6]ค่างานต้นทุน!$H$539</definedName>
    <definedName name="ปากท่อ3_100" localSheetId="1">[7]ค่างานต้นทุน!$H$567</definedName>
    <definedName name="ปากท่อ3_100" localSheetId="30">[7]ค่างานต้นทุน!$H$567</definedName>
    <definedName name="ปากท่อ3_100">[6]ค่างานต้นทุน!$H$567</definedName>
    <definedName name="ปากท่อ3_120" localSheetId="1">[7]ค่างานต้นทุน!$H$588</definedName>
    <definedName name="ปากท่อ3_120" localSheetId="30">[7]ค่างานต้นทุน!$H$588</definedName>
    <definedName name="ปากท่อ3_120">[6]ค่างานต้นทุน!$H$588</definedName>
    <definedName name="ปากท่อ3_60" localSheetId="1">[7]ค่างานต้นทุน!$H$525</definedName>
    <definedName name="ปากท่อ3_60" localSheetId="30">[7]ค่างานต้นทุน!$H$525</definedName>
    <definedName name="ปากท่อ3_60">[6]ค่างานต้นทุน!$H$525</definedName>
    <definedName name="ปากท่อ3_80" localSheetId="1">[7]ค่างานต้นทุน!$H$546</definedName>
    <definedName name="ปากท่อ3_80" localSheetId="30">[7]ค่างานต้นทุน!$H$546</definedName>
    <definedName name="ปากท่อ3_80">[6]ค่างานต้นทุน!$H$546</definedName>
    <definedName name="ป้ายก" localSheetId="1">[7]ค่างานต้นทุน!$H$464</definedName>
    <definedName name="ป้ายก" localSheetId="30">[7]ค่างานต้นทุน!$H$464</definedName>
    <definedName name="ป้ายก">[6]ค่างานต้นทุน!$H$464</definedName>
    <definedName name="ปูนทราย" localSheetId="0">#REF!</definedName>
    <definedName name="ปูนทราย" localSheetId="1">[46]รายการประมาณราคาต่อหน่วย!#REF!</definedName>
    <definedName name="ปูนทราย" localSheetId="30">[46]รายการประมาณราคาต่อหน่วย!#REF!</definedName>
    <definedName name="ปูนทราย" localSheetId="14">#REF!</definedName>
    <definedName name="ปูนทราย" localSheetId="16">#REF!</definedName>
    <definedName name="ปูนทราย" localSheetId="7">#REF!</definedName>
    <definedName name="ปูนทราย" localSheetId="8">#REF!</definedName>
    <definedName name="ปูนทราย" localSheetId="9">#REF!</definedName>
    <definedName name="ปูนทราย" localSheetId="10">#REF!</definedName>
    <definedName name="ปูนทราย" localSheetId="19">#REF!</definedName>
    <definedName name="ปูนทราย" localSheetId="20">#REF!</definedName>
    <definedName name="ปูนทราย" localSheetId="6">#REF!</definedName>
    <definedName name="ปูนทราย" localSheetId="11">#REF!</definedName>
    <definedName name="ปูนทราย" localSheetId="12">#REF!</definedName>
    <definedName name="ปูนทราย" localSheetId="13">#REF!</definedName>
    <definedName name="ปูนทราย">#REF!</definedName>
    <definedName name="ปูนยาแนว" localSheetId="0">#REF!</definedName>
    <definedName name="ปูนยาแนว" localSheetId="1">#REF!</definedName>
    <definedName name="ปูนยาแนว" localSheetId="30">#REF!</definedName>
    <definedName name="ปูนยาแนว" localSheetId="14">#REF!</definedName>
    <definedName name="ปูนยาแนว" localSheetId="16">#REF!</definedName>
    <definedName name="ปูนยาแนว" localSheetId="7">#REF!</definedName>
    <definedName name="ปูนยาแนว" localSheetId="8">#REF!</definedName>
    <definedName name="ปูนยาแนว" localSheetId="9">#REF!</definedName>
    <definedName name="ปูนยาแนว" localSheetId="10">#REF!</definedName>
    <definedName name="ปูนยาแนว" localSheetId="19">#REF!</definedName>
    <definedName name="ปูนยาแนว" localSheetId="20">#REF!</definedName>
    <definedName name="ปูนยาแนว" localSheetId="6">#REF!</definedName>
    <definedName name="ปูนยาแนว" localSheetId="11">#REF!</definedName>
    <definedName name="ปูนยาแนว" localSheetId="12">#REF!</definedName>
    <definedName name="ปูนยาแนว" localSheetId="13">#REF!</definedName>
    <definedName name="ปูนยาแนว">#REF!</definedName>
    <definedName name="ผลงานแต่ละสัปดาห์" localSheetId="1">[62]ส่วนใส่ปริมาณงาน!$G$3:$CX$31</definedName>
    <definedName name="ผลงานแต่ละสัปดาห์" localSheetId="30">[62]ส่วนใส่ปริมาณงาน!$G$3:$CX$31</definedName>
    <definedName name="ผลงานแต่ละสัปดาห์" localSheetId="29">[64]ส่วนใส่ปริมาณงาน!$G$3:$CX$31</definedName>
    <definedName name="ผลงานแต่ละสัปดาห์">[65]ส่วนใส่ปริมาณงาน!$G$3:$CX$31</definedName>
    <definedName name="ผลงานสะสม" localSheetId="1">[62]ส่วนคำนวณ1!$G$41:$CX$68</definedName>
    <definedName name="ผลงานสะสม" localSheetId="30">[62]ส่วนคำนวณ1!$G$41:$CX$68</definedName>
    <definedName name="ผลงานสะสม" localSheetId="29">[64]ส่วนคำนวณ1!$G$41:$CX$68</definedName>
    <definedName name="ผลงานสะสม">[65]ส่วนคำนวณ1!$G$41:$CX$68</definedName>
    <definedName name="พื้นทาง" localSheetId="1">[7]ค่างานต้นทุน!$H$69</definedName>
    <definedName name="พื้นทาง" localSheetId="30">[7]ค่างานต้นทุน!$H$69</definedName>
    <definedName name="พื้นทาง">[6]ค่างานต้นทุน!$H$69</definedName>
    <definedName name="ฟไ394" localSheetId="0">#REF!</definedName>
    <definedName name="ฟไ394" localSheetId="1">#REF!</definedName>
    <definedName name="ฟไ394" localSheetId="30">#REF!</definedName>
    <definedName name="ฟไ394" localSheetId="14">#REF!</definedName>
    <definedName name="ฟไ394" localSheetId="16">#REF!</definedName>
    <definedName name="ฟไ394" localSheetId="7">#REF!</definedName>
    <definedName name="ฟไ394" localSheetId="8">#REF!</definedName>
    <definedName name="ฟไ394" localSheetId="9">#REF!</definedName>
    <definedName name="ฟไ394" localSheetId="10">#REF!</definedName>
    <definedName name="ฟไ394" localSheetId="19">#REF!</definedName>
    <definedName name="ฟไ394" localSheetId="20">#REF!</definedName>
    <definedName name="ฟไ394" localSheetId="6">#REF!</definedName>
    <definedName name="ฟไ394" localSheetId="11">#REF!</definedName>
    <definedName name="ฟไ394" localSheetId="12">#REF!</definedName>
    <definedName name="ฟไ394" localSheetId="13">#REF!</definedName>
    <definedName name="ฟไ394">#REF!</definedName>
    <definedName name="ฟา" localSheetId="0">#REF!</definedName>
    <definedName name="ฟา" localSheetId="1">#REF!</definedName>
    <definedName name="ฟา" localSheetId="30">#REF!</definedName>
    <definedName name="ฟา" localSheetId="14">#REF!</definedName>
    <definedName name="ฟา" localSheetId="16">#REF!</definedName>
    <definedName name="ฟา" localSheetId="7">#REF!</definedName>
    <definedName name="ฟา" localSheetId="8">#REF!</definedName>
    <definedName name="ฟา" localSheetId="9">#REF!</definedName>
    <definedName name="ฟา" localSheetId="10">#REF!</definedName>
    <definedName name="ฟา" localSheetId="19">#REF!</definedName>
    <definedName name="ฟา" localSheetId="20">#REF!</definedName>
    <definedName name="ฟา" localSheetId="6">#REF!</definedName>
    <definedName name="ฟา" localSheetId="11">#REF!</definedName>
    <definedName name="ฟา" localSheetId="12">#REF!</definedName>
    <definedName name="ฟา" localSheetId="13">#REF!</definedName>
    <definedName name="ฟา">#REF!</definedName>
    <definedName name="ฟๅ" localSheetId="0">#REF!</definedName>
    <definedName name="ฟๅ" localSheetId="1">#REF!</definedName>
    <definedName name="ฟๅ" localSheetId="30">#REF!</definedName>
    <definedName name="ฟๅ" localSheetId="14">#REF!</definedName>
    <definedName name="ฟๅ" localSheetId="16">#REF!</definedName>
    <definedName name="ฟๅ" localSheetId="7">#REF!</definedName>
    <definedName name="ฟๅ" localSheetId="8">#REF!</definedName>
    <definedName name="ฟๅ" localSheetId="9">#REF!</definedName>
    <definedName name="ฟๅ" localSheetId="10">#REF!</definedName>
    <definedName name="ฟๅ" localSheetId="19">#REF!</definedName>
    <definedName name="ฟๅ" localSheetId="20">#REF!</definedName>
    <definedName name="ฟๅ" localSheetId="6">#REF!</definedName>
    <definedName name="ฟๅ" localSheetId="11">#REF!</definedName>
    <definedName name="ฟๅ" localSheetId="12">#REF!</definedName>
    <definedName name="ฟๅ" localSheetId="13">#REF!</definedName>
    <definedName name="ฟๅ">#REF!</definedName>
    <definedName name="ภูมิอากาศ">[9]ข้อมูลขนส่ง!$B$2</definedName>
    <definedName name="มบ1" localSheetId="1">[23]ไฟฟ้า!$K$5781</definedName>
    <definedName name="มบ1" localSheetId="30">[23]ไฟฟ้า!$K$5781</definedName>
    <definedName name="มบ1">[24]ไฟฟ้า!$K$5781</definedName>
    <definedName name="มอนต่า" localSheetId="0">#REF!</definedName>
    <definedName name="มอนต่า" localSheetId="1">#REF!</definedName>
    <definedName name="มอนต่า" localSheetId="30">#REF!</definedName>
    <definedName name="มอนต่า" localSheetId="14">#REF!</definedName>
    <definedName name="มอนต่า" localSheetId="16">#REF!</definedName>
    <definedName name="มอนต่า" localSheetId="7">#REF!</definedName>
    <definedName name="มอนต่า" localSheetId="8">#REF!</definedName>
    <definedName name="มอนต่า" localSheetId="9">#REF!</definedName>
    <definedName name="มอนต่า" localSheetId="10">#REF!</definedName>
    <definedName name="มอนต่า" localSheetId="19">#REF!</definedName>
    <definedName name="มอนต่า" localSheetId="20">#REF!</definedName>
    <definedName name="มอนต่า" localSheetId="6">#REF!</definedName>
    <definedName name="มอนต่า" localSheetId="11">#REF!</definedName>
    <definedName name="มอนต่า" localSheetId="12">#REF!</definedName>
    <definedName name="มอนต่า" localSheetId="13">#REF!</definedName>
    <definedName name="มอนต่า">#REF!</definedName>
    <definedName name="มาโคร72" localSheetId="0">มาโคร72</definedName>
    <definedName name="มาโคร72" localSheetId="1">'2.ข้อมูลวัสดุ'!มาโคร72</definedName>
    <definedName name="มาโคร72" localSheetId="30">'2.ข้อมูลวัสดุ'!มาโคร72</definedName>
    <definedName name="มาโคร72" localSheetId="14">'2.ข้อมูลวัสดุ'!มาโคร72</definedName>
    <definedName name="มาโคร72" localSheetId="31">'2.ข้อมูลวัสดุ'!มาโคร72</definedName>
    <definedName name="มาโคร72" localSheetId="28">'2.ข้อมูลวัสดุ'!มาโคร72</definedName>
    <definedName name="มาโคร72" localSheetId="16">'2.ข้อมูลวัสดุ'!มาโคร72</definedName>
    <definedName name="มาโคร72" localSheetId="7">'2.ข้อมูลวัสดุ'!มาโคร72</definedName>
    <definedName name="มาโคร72" localSheetId="8">'2.ข้อมูลวัสดุ'!มาโคร72</definedName>
    <definedName name="มาโคร72" localSheetId="10">'2.ข้อมูลวัสดุ'!มาโคร72</definedName>
    <definedName name="มาโคร72" localSheetId="19">'2.ข้อมูลวัสดุ'!มาโคร72</definedName>
    <definedName name="มาโคร72" localSheetId="20">'2.ข้อมูลวัสดุ'!มาโคร72</definedName>
    <definedName name="มาโคร72" localSheetId="6">'2.ข้อมูลวัสดุ'!มาโคร72</definedName>
    <definedName name="มาโคร72" localSheetId="21">'2.ข้อมูลวัสดุ'!มาโคร72</definedName>
    <definedName name="มาโคร72" localSheetId="11">'2.ข้อมูลวัสดุ'!มาโคร72</definedName>
    <definedName name="มาโคร72" localSheetId="12">'2.ข้อมูลวัสดุ'!มาโคร72</definedName>
    <definedName name="มาโคร72" localSheetId="13">'2.ข้อมูลวัสดุ'!มาโคร72</definedName>
    <definedName name="มาโคร72" localSheetId="25">'2.ข้อมูลวัสดุ'!มาโคร72</definedName>
    <definedName name="มาโคร72">'2.ข้อมูลวัสดุ'!มาโคร72</definedName>
    <definedName name="ไม้แบบ1" localSheetId="0">#REF!</definedName>
    <definedName name="ไม้แบบ1" localSheetId="1">#REF!</definedName>
    <definedName name="ไม้แบบ1" localSheetId="30">#REF!</definedName>
    <definedName name="ไม้แบบ1" localSheetId="14">#REF!</definedName>
    <definedName name="ไม้แบบ1" localSheetId="16">#REF!</definedName>
    <definedName name="ไม้แบบ1" localSheetId="7">#REF!</definedName>
    <definedName name="ไม้แบบ1" localSheetId="8">#REF!</definedName>
    <definedName name="ไม้แบบ1" localSheetId="9">#REF!</definedName>
    <definedName name="ไม้แบบ1" localSheetId="10">#REF!</definedName>
    <definedName name="ไม้แบบ1" localSheetId="19">#REF!</definedName>
    <definedName name="ไม้แบบ1" localSheetId="20">#REF!</definedName>
    <definedName name="ไม้แบบ1" localSheetId="6">#REF!</definedName>
    <definedName name="ไม้แบบ1" localSheetId="11">#REF!</definedName>
    <definedName name="ไม้แบบ1" localSheetId="12">#REF!</definedName>
    <definedName name="ไม้แบบ1" localSheetId="13">#REF!</definedName>
    <definedName name="ไม้แบบ1">#REF!</definedName>
    <definedName name="ไม้แบบ2" localSheetId="0">#REF!</definedName>
    <definedName name="ไม้แบบ2" localSheetId="1">#REF!</definedName>
    <definedName name="ไม้แบบ2" localSheetId="30">#REF!</definedName>
    <definedName name="ไม้แบบ2" localSheetId="14">#REF!</definedName>
    <definedName name="ไม้แบบ2" localSheetId="16">#REF!</definedName>
    <definedName name="ไม้แบบ2" localSheetId="7">#REF!</definedName>
    <definedName name="ไม้แบบ2" localSheetId="8">#REF!</definedName>
    <definedName name="ไม้แบบ2" localSheetId="9">#REF!</definedName>
    <definedName name="ไม้แบบ2" localSheetId="10">#REF!</definedName>
    <definedName name="ไม้แบบ2" localSheetId="19">#REF!</definedName>
    <definedName name="ไม้แบบ2" localSheetId="20">#REF!</definedName>
    <definedName name="ไม้แบบ2" localSheetId="6">#REF!</definedName>
    <definedName name="ไม้แบบ2" localSheetId="11">#REF!</definedName>
    <definedName name="ไม้แบบ2" localSheetId="12">#REF!</definedName>
    <definedName name="ไม้แบบ2" localSheetId="13">#REF!</definedName>
    <definedName name="ไม้แบบ2">#REF!</definedName>
    <definedName name="ยท2544" localSheetId="1">#REF!</definedName>
    <definedName name="ยท2544" localSheetId="30">#REF!</definedName>
    <definedName name="รถตีเส้น" localSheetId="1">[8]Sheet1!$H$28</definedName>
    <definedName name="รถตีเส้น" localSheetId="30">[8]Sheet1!$H$28</definedName>
    <definedName name="รถตีเส้น">[4]ได้งานตีเส้น!$H$28</definedName>
    <definedName name="รถบริการ" localSheetId="1">[8]Sheet1!$H$34</definedName>
    <definedName name="รถบริการ" localSheetId="30">[8]Sheet1!$H$34</definedName>
    <definedName name="รถบริการ">[4]ได้งานตีเส้น!$H$34</definedName>
    <definedName name="รวมเงิน" localSheetId="1">[62]ส่วนใส่ปริมาณงาน!$E$32</definedName>
    <definedName name="รวมเงิน" localSheetId="30">[62]ส่วนใส่ปริมาณงาน!$E$32</definedName>
    <definedName name="รวมเงิน" localSheetId="29">[64]ส่วนใส่ปริมาณงาน!$E$32</definedName>
    <definedName name="รวมเงิน">[65]ส่วนใส่ปริมาณงาน!$E$32</definedName>
    <definedName name="รองพื้นทาง" localSheetId="1">[7]ค่างานต้นทุน!$H$60</definedName>
    <definedName name="รองพื้นทาง" localSheetId="30">[7]ค่างานต้นทุน!$H$60</definedName>
    <definedName name="รองพื้นทาง">[6]ค่างานต้นทุน!$H$60</definedName>
    <definedName name="ระยะดินตัด">[9]ข้อมูลขนส่ง!$L$4</definedName>
    <definedName name="ระยะดินถม">[9]ข้อมูลขนส่ง!$P$4</definedName>
    <definedName name="ระยะทรายถม">[9]ข้อมูลขนส่ง!$T$12</definedName>
    <definedName name="ระยะทรายหยาบ">[9]ข้อมูลขนส่ง!$T$16</definedName>
    <definedName name="ระยะทางขนส่งปูนซีเมนต์" localSheetId="1">[46]ข้อมูลโครงการ!$Q$40</definedName>
    <definedName name="ระยะทางขนส่งปูนซีเมนต์" localSheetId="30">[46]ข้อมูลโครงการ!$Q$40</definedName>
    <definedName name="ระยะทางขนส่งปูนซีเมนต์">[22]ข้อมูลโครงการ!$Q$49</definedName>
    <definedName name="ระยะปูนต์">[9]ข้อมูลขนส่ง!$T$20</definedName>
    <definedName name="ระยะลูกรัง">[9]ข้อมูลขนส่ง!$P$12</definedName>
    <definedName name="ระยะวัสดุคัดเลือก" localSheetId="0">#REF!</definedName>
    <definedName name="ระยะวัสดุคัดเลือก" localSheetId="1">#REF!</definedName>
    <definedName name="ระยะวัสดุคัดเลือก" localSheetId="30">#REF!</definedName>
    <definedName name="ระยะวัสดุคัดเลือก" localSheetId="14">#REF!</definedName>
    <definedName name="ระยะวัสดุคัดเลือก" localSheetId="16">#REF!</definedName>
    <definedName name="ระยะวัสดุคัดเลือก" localSheetId="7">#REF!</definedName>
    <definedName name="ระยะวัสดุคัดเลือก" localSheetId="8">#REF!</definedName>
    <definedName name="ระยะวัสดุคัดเลือก" localSheetId="9">#REF!</definedName>
    <definedName name="ระยะวัสดุคัดเลือก" localSheetId="10">#REF!</definedName>
    <definedName name="ระยะวัสดุคัดเลือก" localSheetId="19">#REF!</definedName>
    <definedName name="ระยะวัสดุคัดเลือก" localSheetId="20">#REF!</definedName>
    <definedName name="ระยะวัสดุคัดเลือก" localSheetId="6">#REF!</definedName>
    <definedName name="ระยะวัสดุคัดเลือก" localSheetId="11">#REF!</definedName>
    <definedName name="ระยะวัสดุคัดเลือก" localSheetId="12">#REF!</definedName>
    <definedName name="ระยะวัสดุคัดเลือก" localSheetId="13">#REF!</definedName>
    <definedName name="ระยะวัสดุคัดเลือก">#REF!</definedName>
    <definedName name="ระยะหิน12">[9]ข้อมูลขนส่ง!$X$8</definedName>
    <definedName name="ระยะหินคลุก">[9]ข้อมูลขนส่ง!$T$4</definedName>
    <definedName name="ระยะหินผสม">[9]ข้อมูลขนส่ง!$X$4</definedName>
    <definedName name="ระยะเหล็กเส้น">[9]ข้อมูลขนส่ง!$T$24</definedName>
    <definedName name="ระยะแอสฟัลท์">[9]ข้อมูลขนส่ง!$T$8</definedName>
    <definedName name="ราคาดินตัด">[9]ข้อมูลขนส่ง!$N$4</definedName>
    <definedName name="ราคาดินถม">[9]ข้อมูลขนส่ง!$R$4</definedName>
    <definedName name="ราคาทรายถม">[9]ข้อมูลขนส่ง!$V$12</definedName>
    <definedName name="ราคาทรายหยาบ">[9]ข้อมูลขนส่ง!$V$16</definedName>
    <definedName name="ราคาน้ำมัน" localSheetId="1">[23]ข้อมูลโครงการ!$G$14</definedName>
    <definedName name="ราคาน้ำมัน" localSheetId="30">[23]ข้อมูลโครงการ!$G$14</definedName>
    <definedName name="ราคาน้ำมัน">[24]ข้อมูลโครงการ!$G$14</definedName>
    <definedName name="ราคาน้ำมันเฉลี่ย" localSheetId="1">[21]ข้อมูลโครงการ!$R$6</definedName>
    <definedName name="ราคาน้ำมันเฉลี่ย" localSheetId="30">[21]ข้อมูลโครงการ!$R$6</definedName>
    <definedName name="ราคาน้ำมันเฉลี่ย">[22]ข้อมูลโครงการ!$R$6</definedName>
    <definedName name="ราคาปูนtype1ที่แหล่ง" localSheetId="1">[46]ข้อมูลโครงการ!$Q$37</definedName>
    <definedName name="ราคาปูนtype1ที่แหล่ง" localSheetId="30">[46]ข้อมูลโครงการ!$Q$37</definedName>
    <definedName name="ราคาปูนtype1ที่แหล่ง" localSheetId="29">[62]ข้อมูลโครงการ!$Q$37</definedName>
    <definedName name="ราคาปูนtype1ที่แหล่ง">[63]ข้อมูลโครงการ!$Q$37</definedName>
    <definedName name="ราคาปูนต์">[9]ข้อมูลขนส่ง!$V$20</definedName>
    <definedName name="ราคาลูกรัง">[9]ข้อมูลขนส่ง!$R$12</definedName>
    <definedName name="ราคาวัสดุคัดเลือก">[9]ข้อมูลขนส่ง!$R$8</definedName>
    <definedName name="ราคาหิน12">[9]ข้อมูลขนส่ง!$Z$8</definedName>
    <definedName name="ราคาหินคลุก">[9]ข้อมูลขนส่ง!$V$4</definedName>
    <definedName name="ราคาหินผสม">[9]ข้อมูลขนส่ง!$Z$4</definedName>
    <definedName name="ราคาเหล็กเส้น">[9]ข้อมูลขนส่ง!$V$24</definedName>
    <definedName name="ราคาแอสฟัลท์">[9]ข้อมูลขนส่ง!$V$8</definedName>
    <definedName name="รายละเอียดการคำนวณค่างานต้นทุน" localSheetId="0">#REF!</definedName>
    <definedName name="รายละเอียดการคำนวณค่างานต้นทุน" localSheetId="1">#REF!</definedName>
    <definedName name="รายละเอียดการคำนวณค่างานต้นทุน" localSheetId="30">#REF!</definedName>
    <definedName name="รายละเอียดการคำนวณค่างานต้นทุน" localSheetId="14">#REF!</definedName>
    <definedName name="รายละเอียดการคำนวณค่างานต้นทุน" localSheetId="16">#REF!</definedName>
    <definedName name="รายละเอียดการคำนวณค่างานต้นทุน" localSheetId="7">#REF!</definedName>
    <definedName name="รายละเอียดการคำนวณค่างานต้นทุน" localSheetId="8">#REF!</definedName>
    <definedName name="รายละเอียดการคำนวณค่างานต้นทุน" localSheetId="9">#REF!</definedName>
    <definedName name="รายละเอียดการคำนวณค่างานต้นทุน" localSheetId="10">#REF!</definedName>
    <definedName name="รายละเอียดการคำนวณค่างานต้นทุน" localSheetId="19">#REF!</definedName>
    <definedName name="รายละเอียดการคำนวณค่างานต้นทุน" localSheetId="20">#REF!</definedName>
    <definedName name="รายละเอียดการคำนวณค่างานต้นทุน" localSheetId="6">#REF!</definedName>
    <definedName name="รายละเอียดการคำนวณค่างานต้นทุน" localSheetId="11">#REF!</definedName>
    <definedName name="รายละเอียดการคำนวณค่างานต้นทุน" localSheetId="12">#REF!</definedName>
    <definedName name="รายละเอียดการคำนวณค่างานต้นทุน" localSheetId="13">#REF!</definedName>
    <definedName name="รายละเอียดการคำนวณค่างานต้นทุน">#REF!</definedName>
    <definedName name="ลวด" localSheetId="1">[23]สรุปข้อมูลประมาณราคา!$N$36</definedName>
    <definedName name="ลวด" localSheetId="30">[23]สรุปข้อมูลประมาณราคา!$N$36</definedName>
    <definedName name="ลวด">[24]สรุปข้อมูลประมาณราคา!$N$36</definedName>
    <definedName name="ลวดผูกเหล็ก">[10]ข้อมูล!$L$132</definedName>
    <definedName name="ส1">[9]ค่างานต้นทุน!$H$220</definedName>
    <definedName name="ส2">[9]ค่างานต้นทุน!$H$228</definedName>
    <definedName name="ส3">[9]ค่างานต้นทุน!$H$237</definedName>
    <definedName name="ส4">[9]ค่างานต้นทุน!$H$247</definedName>
    <definedName name="สะพาน" localSheetId="0">#REF!</definedName>
    <definedName name="สะพาน" localSheetId="1">#REF!</definedName>
    <definedName name="สะพาน" localSheetId="30">#REF!</definedName>
    <definedName name="สะพาน" localSheetId="14">#REF!</definedName>
    <definedName name="สะพาน" localSheetId="16">#REF!</definedName>
    <definedName name="สะพาน" localSheetId="7">#REF!</definedName>
    <definedName name="สะพาน" localSheetId="8">#REF!</definedName>
    <definedName name="สะพาน" localSheetId="9">#REF!</definedName>
    <definedName name="สะพาน" localSheetId="10">#REF!</definedName>
    <definedName name="สะพาน" localSheetId="19">#REF!</definedName>
    <definedName name="สะพาน" localSheetId="20">#REF!</definedName>
    <definedName name="สะพาน" localSheetId="6">#REF!</definedName>
    <definedName name="สะพาน" localSheetId="11">#REF!</definedName>
    <definedName name="สะพาน" localSheetId="12">#REF!</definedName>
    <definedName name="สะพาน" localSheetId="13">#REF!</definedName>
    <definedName name="สะพาน">#REF!</definedName>
    <definedName name="สัปดาห์" localSheetId="1">[62]ส่วนคำนวณ1!$A$28:$E$31</definedName>
    <definedName name="สัปดาห์" localSheetId="30">[62]ส่วนคำนวณ1!$A$28:$E$31</definedName>
    <definedName name="สัปดาห์" localSheetId="29">[64]ส่วนคำนวณ1!$A$28:$E$31</definedName>
    <definedName name="สัปดาห์">[65]ส่วนคำนวณ1!$A$28:$E$31</definedName>
    <definedName name="สี" localSheetId="1">[7]ค่างานต้นทุน!#REF!</definedName>
    <definedName name="สี" localSheetId="30">[7]ค่างานต้นทุน!#REF!</definedName>
    <definedName name="สี">[6]ค่างานต้นทุน!#REF!</definedName>
    <definedName name="สูง12" localSheetId="1">'[21]Multi_Box 1'!$C$51</definedName>
    <definedName name="สูง12" localSheetId="30">'[21]Multi_Box 1'!$C$51</definedName>
    <definedName name="สูง12">'[22]Multi_Box 1'!$C$51</definedName>
    <definedName name="หญ้า" localSheetId="1">[7]ค่างานต้นทุน!$H$175</definedName>
    <definedName name="หญ้า" localSheetId="30">[7]ค่างานต้นทุน!$H$175</definedName>
    <definedName name="หญ้า">[6]ค่างานต้นทุน!$H$175</definedName>
    <definedName name="หยาบ" localSheetId="0">#REF!</definedName>
    <definedName name="หยาบ" localSheetId="1">#REF!</definedName>
    <definedName name="หยาบ" localSheetId="30">#REF!</definedName>
    <definedName name="หยาบ" localSheetId="14">#REF!</definedName>
    <definedName name="หยาบ" localSheetId="16">#REF!</definedName>
    <definedName name="หยาบ" localSheetId="7">#REF!</definedName>
    <definedName name="หยาบ" localSheetId="8">#REF!</definedName>
    <definedName name="หยาบ" localSheetId="9">#REF!</definedName>
    <definedName name="หยาบ" localSheetId="10">#REF!</definedName>
    <definedName name="หยาบ" localSheetId="19">#REF!</definedName>
    <definedName name="หยาบ" localSheetId="20">#REF!</definedName>
    <definedName name="หยาบ" localSheetId="6">#REF!</definedName>
    <definedName name="หยาบ" localSheetId="11">#REF!</definedName>
    <definedName name="หยาบ" localSheetId="12">#REF!</definedName>
    <definedName name="หยาบ" localSheetId="13">#REF!</definedName>
    <definedName name="หยาบ">#REF!</definedName>
    <definedName name="หลัก" localSheetId="1">[7]ค่างานต้นทุน!$H$482</definedName>
    <definedName name="หลัก" localSheetId="30">[7]ค่างานต้นทุน!$H$482</definedName>
    <definedName name="หลัก">[6]ค่างานต้นทุน!$H$482</definedName>
    <definedName name="หัวกระเทาะ" localSheetId="1">[8]Sheet1!$H$44</definedName>
    <definedName name="หัวกระเทาะ" localSheetId="30">[8]Sheet1!$H$44</definedName>
    <definedName name="หัวกระเทาะ">[4]ได้งานตีเส้น!$H$44</definedName>
    <definedName name="หินsingle" localSheetId="0">#REF!</definedName>
    <definedName name="หินsingle" localSheetId="1">#REF!</definedName>
    <definedName name="หินsingle" localSheetId="30">#REF!</definedName>
    <definedName name="หินsingle" localSheetId="14">#REF!</definedName>
    <definedName name="หินsingle" localSheetId="16">#REF!</definedName>
    <definedName name="หินsingle" localSheetId="7">#REF!</definedName>
    <definedName name="หินsingle" localSheetId="8">#REF!</definedName>
    <definedName name="หินsingle" localSheetId="9">#REF!</definedName>
    <definedName name="หินsingle" localSheetId="10">#REF!</definedName>
    <definedName name="หินsingle" localSheetId="19">#REF!</definedName>
    <definedName name="หินsingle" localSheetId="20">#REF!</definedName>
    <definedName name="หินsingle" localSheetId="6">#REF!</definedName>
    <definedName name="หินsingle" localSheetId="11">#REF!</definedName>
    <definedName name="หินsingle" localSheetId="12">#REF!</definedName>
    <definedName name="หินsingle" localSheetId="13">#REF!</definedName>
    <definedName name="หินsingle">#REF!</definedName>
    <definedName name="หินคลุก" localSheetId="0">#REF!</definedName>
    <definedName name="หินคลุก" localSheetId="1">#REF!</definedName>
    <definedName name="หินคลุก" localSheetId="30">#REF!</definedName>
    <definedName name="หินคลุก" localSheetId="14">#REF!</definedName>
    <definedName name="หินคลุก" localSheetId="16">#REF!</definedName>
    <definedName name="หินคลุก" localSheetId="7">#REF!</definedName>
    <definedName name="หินคลุก" localSheetId="8">#REF!</definedName>
    <definedName name="หินคลุก" localSheetId="9">#REF!</definedName>
    <definedName name="หินคลุก" localSheetId="10">#REF!</definedName>
    <definedName name="หินคลุก" localSheetId="19">#REF!</definedName>
    <definedName name="หินคลุก" localSheetId="20">#REF!</definedName>
    <definedName name="หินคลุก" localSheetId="6">#REF!</definedName>
    <definedName name="หินคลุก" localSheetId="11">#REF!</definedName>
    <definedName name="หินคลุก" localSheetId="12">#REF!</definedName>
    <definedName name="หินคลุก" localSheetId="13">#REF!</definedName>
    <definedName name="หินคลุก">#REF!</definedName>
    <definedName name="หินผสม" localSheetId="0">#REF!</definedName>
    <definedName name="หินผสม" localSheetId="1">#REF!</definedName>
    <definedName name="หินผสม" localSheetId="30">#REF!</definedName>
    <definedName name="หินผสม" localSheetId="14">#REF!</definedName>
    <definedName name="หินผสม" localSheetId="16">#REF!</definedName>
    <definedName name="หินผสม" localSheetId="7">#REF!</definedName>
    <definedName name="หินผสม" localSheetId="8">#REF!</definedName>
    <definedName name="หินผสม" localSheetId="9">#REF!</definedName>
    <definedName name="หินผสม" localSheetId="10">#REF!</definedName>
    <definedName name="หินผสม" localSheetId="19">#REF!</definedName>
    <definedName name="หินผสม" localSheetId="20">#REF!</definedName>
    <definedName name="หินผสม" localSheetId="6">#REF!</definedName>
    <definedName name="หินผสม" localSheetId="11">#REF!</definedName>
    <definedName name="หินผสม" localSheetId="12">#REF!</definedName>
    <definedName name="หินผสม" localSheetId="13">#REF!</definedName>
    <definedName name="หินผสม">#REF!</definedName>
    <definedName name="หินแอสฟัลท์" localSheetId="0">#REF!</definedName>
    <definedName name="หินแอสฟัลท์" localSheetId="1">#REF!</definedName>
    <definedName name="หินแอสฟัลท์" localSheetId="30">#REF!</definedName>
    <definedName name="หินแอสฟัลท์" localSheetId="14">#REF!</definedName>
    <definedName name="หินแอสฟัลท์" localSheetId="16">#REF!</definedName>
    <definedName name="หินแอสฟัลท์" localSheetId="7">#REF!</definedName>
    <definedName name="หินแอสฟัลท์" localSheetId="8">#REF!</definedName>
    <definedName name="หินแอสฟัลท์" localSheetId="9">#REF!</definedName>
    <definedName name="หินแอสฟัลท์" localSheetId="10">#REF!</definedName>
    <definedName name="หินแอสฟัลท์" localSheetId="19">#REF!</definedName>
    <definedName name="หินแอสฟัลท์" localSheetId="20">#REF!</definedName>
    <definedName name="หินแอสฟัลท์" localSheetId="6">#REF!</definedName>
    <definedName name="หินแอสฟัลท์" localSheetId="11">#REF!</definedName>
    <definedName name="หินแอสฟัลท์" localSheetId="12">#REF!</definedName>
    <definedName name="หินแอสฟัลท์" localSheetId="13">#REF!</definedName>
    <definedName name="หินแอสฟัลท์">#REF!</definedName>
    <definedName name="แหล่งปูน" localSheetId="1">[46]ข้อมูลโครงการ!$I$39</definedName>
    <definedName name="แหล่งปูน" localSheetId="30">[46]ข้อมูลโครงการ!$I$39</definedName>
    <definedName name="แหล่งปูน">[22]ข้อมูลโครงการ!$I$48</definedName>
    <definedName name="อ33" localSheetId="0">#REF!</definedName>
    <definedName name="อ33" localSheetId="1">#REF!</definedName>
    <definedName name="อ33" localSheetId="30">#REF!</definedName>
    <definedName name="อ33" localSheetId="14">#REF!</definedName>
    <definedName name="อ33" localSheetId="16">#REF!</definedName>
    <definedName name="อ33" localSheetId="7">#REF!</definedName>
    <definedName name="อ33" localSheetId="8">#REF!</definedName>
    <definedName name="อ33" localSheetId="9">#REF!</definedName>
    <definedName name="อ33" localSheetId="10">#REF!</definedName>
    <definedName name="อ33" localSheetId="19">#REF!</definedName>
    <definedName name="อ33" localSheetId="20">#REF!</definedName>
    <definedName name="อ33" localSheetId="6">#REF!</definedName>
    <definedName name="อ33" localSheetId="11">#REF!</definedName>
    <definedName name="อ33" localSheetId="12">#REF!</definedName>
    <definedName name="อ33" localSheetId="13">#REF!</definedName>
    <definedName name="อ33">#REF!</definedName>
    <definedName name="อาม" localSheetId="0">#REF!</definedName>
    <definedName name="อาม" localSheetId="1">#REF!</definedName>
    <definedName name="อาม" localSheetId="30">#REF!</definedName>
    <definedName name="อาม" localSheetId="14">#REF!</definedName>
    <definedName name="อาม" localSheetId="16">#REF!</definedName>
    <definedName name="อาม" localSheetId="7">#REF!</definedName>
    <definedName name="อาม" localSheetId="8">#REF!</definedName>
    <definedName name="อาม" localSheetId="9">#REF!</definedName>
    <definedName name="อาม" localSheetId="10">#REF!</definedName>
    <definedName name="อาม" localSheetId="19">#REF!</definedName>
    <definedName name="อาม" localSheetId="20">#REF!</definedName>
    <definedName name="อาม" localSheetId="6">#REF!</definedName>
    <definedName name="อาม" localSheetId="11">#REF!</definedName>
    <definedName name="อาม" localSheetId="12">#REF!</definedName>
    <definedName name="อาม" localSheetId="13">#REF!</definedName>
    <definedName name="อาม">#REF!</definedName>
    <definedName name="อาม2" localSheetId="0">#REF!</definedName>
    <definedName name="อาม2" localSheetId="1">#REF!</definedName>
    <definedName name="อาม2" localSheetId="30">#REF!</definedName>
    <definedName name="อาม2" localSheetId="14">#REF!</definedName>
    <definedName name="อาม2" localSheetId="16">#REF!</definedName>
    <definedName name="อาม2" localSheetId="7">#REF!</definedName>
    <definedName name="อาม2" localSheetId="8">#REF!</definedName>
    <definedName name="อาม2" localSheetId="9">#REF!</definedName>
    <definedName name="อาม2" localSheetId="10">#REF!</definedName>
    <definedName name="อาม2" localSheetId="19">#REF!</definedName>
    <definedName name="อาม2" localSheetId="20">#REF!</definedName>
    <definedName name="อาม2" localSheetId="6">#REF!</definedName>
    <definedName name="อาม2" localSheetId="11">#REF!</definedName>
    <definedName name="อาม2" localSheetId="12">#REF!</definedName>
    <definedName name="อาม2" localSheetId="13">#REF!</definedName>
    <definedName name="อาม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2" l="1"/>
  <c r="A9" i="42"/>
  <c r="A41" i="42" s="1"/>
  <c r="E23" i="6"/>
  <c r="G23" i="6" s="1"/>
  <c r="L94" i="5"/>
  <c r="I94" i="5"/>
  <c r="M17" i="42"/>
  <c r="K80" i="5"/>
  <c r="K79" i="5"/>
  <c r="I80" i="5"/>
  <c r="L80" i="5" s="1"/>
  <c r="J77" i="5"/>
  <c r="K77" i="5" s="1"/>
  <c r="P17" i="42"/>
  <c r="G24" i="6"/>
  <c r="I60" i="5"/>
  <c r="E79" i="12"/>
  <c r="E78" i="12"/>
  <c r="K77" i="12"/>
  <c r="L76" i="12"/>
  <c r="K76" i="12"/>
  <c r="E75" i="12"/>
  <c r="L73" i="12"/>
  <c r="K73" i="12"/>
  <c r="G73" i="12"/>
  <c r="E71" i="12"/>
  <c r="K70" i="12"/>
  <c r="E70" i="12"/>
  <c r="L69" i="12"/>
  <c r="K69" i="12"/>
  <c r="E68" i="12"/>
  <c r="M66" i="12"/>
  <c r="L66" i="12"/>
  <c r="K66" i="12"/>
  <c r="G66" i="12"/>
  <c r="L61" i="12"/>
  <c r="L60" i="12"/>
  <c r="K60" i="12"/>
  <c r="E60" i="12"/>
  <c r="E59" i="12"/>
  <c r="K58" i="12"/>
  <c r="E58" i="12"/>
  <c r="L57" i="12"/>
  <c r="K57" i="12"/>
  <c r="E56" i="12"/>
  <c r="L55" i="12"/>
  <c r="K55" i="12"/>
  <c r="E53" i="12"/>
  <c r="F52" i="12"/>
  <c r="M51" i="12"/>
  <c r="L51" i="12"/>
  <c r="K51" i="12"/>
  <c r="H51" i="12"/>
  <c r="F51" i="12"/>
  <c r="E51" i="12"/>
  <c r="E50" i="12"/>
  <c r="M48" i="12"/>
  <c r="L48" i="12"/>
  <c r="K48" i="12"/>
  <c r="H48" i="12"/>
  <c r="F48" i="12"/>
  <c r="E48" i="12"/>
  <c r="E47" i="12"/>
  <c r="M45" i="12"/>
  <c r="L45" i="12"/>
  <c r="K45" i="12"/>
  <c r="H45" i="12"/>
  <c r="F45" i="12"/>
  <c r="E45" i="12"/>
  <c r="H43" i="12"/>
  <c r="E40" i="12"/>
  <c r="H39" i="12"/>
  <c r="G39" i="12"/>
  <c r="E39" i="12"/>
  <c r="J37" i="12"/>
  <c r="H37" i="12"/>
  <c r="G37" i="12"/>
  <c r="E37" i="12"/>
  <c r="J36" i="12"/>
  <c r="E36" i="12"/>
  <c r="H34" i="12"/>
  <c r="G34" i="12"/>
  <c r="E34" i="12"/>
  <c r="G33" i="12"/>
  <c r="E33" i="12"/>
  <c r="J31" i="12"/>
  <c r="H31" i="12"/>
  <c r="G31" i="12"/>
  <c r="E31" i="12"/>
  <c r="H30" i="12"/>
  <c r="G30" i="12"/>
  <c r="E30" i="12"/>
  <c r="H25" i="12"/>
  <c r="E19" i="12"/>
  <c r="H18" i="12"/>
  <c r="G18" i="12"/>
  <c r="E18" i="12"/>
  <c r="E17" i="12"/>
  <c r="E16" i="12"/>
  <c r="E15" i="12"/>
  <c r="E13" i="12"/>
  <c r="K12" i="12"/>
  <c r="G12" i="12"/>
  <c r="E12" i="12"/>
  <c r="G11" i="12"/>
  <c r="E11" i="12"/>
  <c r="E10" i="12"/>
  <c r="E9" i="12"/>
  <c r="E7" i="12"/>
  <c r="E6" i="12"/>
  <c r="E5" i="12"/>
  <c r="H2" i="12"/>
  <c r="G51" i="10"/>
  <c r="G50" i="10"/>
  <c r="G48" i="10"/>
  <c r="G45" i="10"/>
  <c r="G44" i="10"/>
  <c r="G42" i="10"/>
  <c r="Q38" i="10"/>
  <c r="G38" i="10"/>
  <c r="Q34" i="10"/>
  <c r="G34" i="10"/>
  <c r="Q31" i="10"/>
  <c r="J31" i="10"/>
  <c r="H31" i="10"/>
  <c r="G31" i="10"/>
  <c r="Q27" i="10"/>
  <c r="G27" i="10"/>
  <c r="Q24" i="10"/>
  <c r="P24" i="10"/>
  <c r="O24" i="10"/>
  <c r="M24" i="10"/>
  <c r="L24" i="10"/>
  <c r="J24" i="10"/>
  <c r="I24" i="10"/>
  <c r="G24" i="10"/>
  <c r="Q23" i="10"/>
  <c r="P23" i="10"/>
  <c r="O23" i="10"/>
  <c r="M23" i="10"/>
  <c r="L23" i="10"/>
  <c r="J23" i="10"/>
  <c r="I23" i="10"/>
  <c r="G23" i="10"/>
  <c r="Q19" i="10"/>
  <c r="N19" i="10"/>
  <c r="M19" i="10"/>
  <c r="L19" i="10"/>
  <c r="J19" i="10"/>
  <c r="I19" i="10"/>
  <c r="G19" i="10"/>
  <c r="Q15" i="10"/>
  <c r="G15" i="10"/>
  <c r="AP12" i="10"/>
  <c r="AO12" i="10"/>
  <c r="AN12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Q12" i="10"/>
  <c r="G9" i="10"/>
  <c r="G8" i="10"/>
  <c r="G7" i="10"/>
  <c r="H2" i="10"/>
  <c r="D2" i="10"/>
  <c r="C2" i="10"/>
  <c r="H15" i="4"/>
  <c r="J14" i="4"/>
  <c r="H14" i="4"/>
  <c r="H13" i="4"/>
  <c r="G13" i="4"/>
  <c r="H12" i="4"/>
  <c r="G12" i="4"/>
  <c r="N11" i="4"/>
  <c r="H11" i="4"/>
  <c r="G11" i="4"/>
  <c r="C11" i="4"/>
  <c r="N10" i="4"/>
  <c r="M10" i="4"/>
  <c r="L10" i="4"/>
  <c r="K10" i="4"/>
  <c r="H10" i="4"/>
  <c r="G10" i="4"/>
  <c r="C10" i="4"/>
  <c r="H9" i="4"/>
  <c r="G9" i="4"/>
  <c r="E9" i="4"/>
  <c r="H8" i="4"/>
  <c r="G8" i="4"/>
  <c r="F8" i="4"/>
  <c r="E8" i="4"/>
  <c r="H7" i="4"/>
  <c r="G7" i="4"/>
  <c r="F7" i="4"/>
  <c r="E7" i="4"/>
  <c r="H5" i="4"/>
  <c r="G5" i="4"/>
  <c r="F5" i="4"/>
  <c r="E5" i="4"/>
  <c r="H2" i="4"/>
  <c r="G25" i="23"/>
  <c r="J24" i="23"/>
  <c r="I24" i="23"/>
  <c r="G24" i="23"/>
  <c r="I23" i="23"/>
  <c r="G23" i="23"/>
  <c r="I22" i="23"/>
  <c r="G22" i="23"/>
  <c r="F22" i="23"/>
  <c r="I21" i="23"/>
  <c r="G21" i="23"/>
  <c r="F21" i="23"/>
  <c r="I20" i="23"/>
  <c r="G20" i="23"/>
  <c r="G18" i="23"/>
  <c r="J17" i="23"/>
  <c r="I17" i="23"/>
  <c r="G17" i="23"/>
  <c r="G16" i="23"/>
  <c r="F16" i="23"/>
  <c r="G15" i="23"/>
  <c r="G14" i="23"/>
  <c r="F14" i="23"/>
  <c r="G13" i="23"/>
  <c r="F13" i="23"/>
  <c r="G12" i="23"/>
  <c r="F12" i="23"/>
  <c r="I11" i="23"/>
  <c r="G11" i="23"/>
  <c r="G10" i="23"/>
  <c r="F10" i="23"/>
  <c r="I9" i="23"/>
  <c r="G9" i="23"/>
  <c r="F9" i="23"/>
  <c r="I8" i="23"/>
  <c r="G8" i="23"/>
  <c r="F8" i="23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0" i="15"/>
  <c r="G19" i="15"/>
  <c r="G18" i="15"/>
  <c r="G17" i="15"/>
  <c r="F17" i="15"/>
  <c r="G16" i="15"/>
  <c r="F16" i="15"/>
  <c r="G15" i="15"/>
  <c r="F15" i="15"/>
  <c r="G14" i="15"/>
  <c r="F14" i="15"/>
  <c r="G13" i="15"/>
  <c r="F13" i="15"/>
  <c r="G12" i="15"/>
  <c r="F12" i="15"/>
  <c r="G11" i="15"/>
  <c r="F11" i="15"/>
  <c r="G10" i="15"/>
  <c r="F10" i="15"/>
  <c r="G9" i="15"/>
  <c r="F9" i="15"/>
  <c r="G8" i="15"/>
  <c r="G7" i="15"/>
  <c r="F7" i="15"/>
  <c r="I18" i="16"/>
  <c r="I17" i="16"/>
  <c r="I16" i="16"/>
  <c r="I15" i="16"/>
  <c r="I14" i="16"/>
  <c r="I13" i="16"/>
  <c r="I12" i="16"/>
  <c r="I11" i="16"/>
  <c r="E11" i="16"/>
  <c r="I10" i="16"/>
  <c r="B10" i="16"/>
  <c r="I9" i="16"/>
  <c r="B9" i="16"/>
  <c r="I8" i="16"/>
  <c r="E8" i="16"/>
  <c r="I7" i="16"/>
  <c r="E7" i="16"/>
  <c r="H6" i="16"/>
  <c r="E6" i="16"/>
  <c r="C2" i="16"/>
  <c r="G20" i="17"/>
  <c r="G19" i="17"/>
  <c r="J18" i="17"/>
  <c r="I18" i="17"/>
  <c r="G18" i="17"/>
  <c r="I17" i="17"/>
  <c r="G17" i="17"/>
  <c r="I16" i="17"/>
  <c r="G16" i="17"/>
  <c r="F16" i="17"/>
  <c r="I15" i="17"/>
  <c r="G15" i="17"/>
  <c r="F15" i="17"/>
  <c r="I14" i="17"/>
  <c r="G14" i="17"/>
  <c r="G12" i="17"/>
  <c r="J11" i="17"/>
  <c r="I11" i="17"/>
  <c r="G11" i="17"/>
  <c r="I10" i="17"/>
  <c r="G10" i="17"/>
  <c r="I9" i="17"/>
  <c r="G9" i="17"/>
  <c r="F9" i="17"/>
  <c r="I8" i="17"/>
  <c r="G8" i="17"/>
  <c r="F8" i="17"/>
  <c r="G39" i="9"/>
  <c r="G38" i="9"/>
  <c r="G36" i="9"/>
  <c r="G35" i="9"/>
  <c r="G34" i="9"/>
  <c r="F34" i="9"/>
  <c r="I33" i="9"/>
  <c r="G33" i="9"/>
  <c r="F33" i="9"/>
  <c r="G31" i="9"/>
  <c r="G30" i="9"/>
  <c r="G29" i="9"/>
  <c r="K28" i="9"/>
  <c r="G28" i="9"/>
  <c r="F28" i="9"/>
  <c r="G27" i="9"/>
  <c r="G25" i="9"/>
  <c r="G24" i="9"/>
  <c r="G23" i="9"/>
  <c r="K22" i="9"/>
  <c r="G22" i="9"/>
  <c r="G21" i="9"/>
  <c r="G19" i="9"/>
  <c r="G18" i="9"/>
  <c r="G17" i="9"/>
  <c r="G16" i="9"/>
  <c r="G15" i="9"/>
  <c r="G13" i="9"/>
  <c r="G12" i="9"/>
  <c r="G11" i="9"/>
  <c r="G10" i="9"/>
  <c r="G9" i="9"/>
  <c r="I8" i="9"/>
  <c r="G8" i="9"/>
  <c r="G20" i="14"/>
  <c r="G19" i="14"/>
  <c r="J18" i="14"/>
  <c r="I18" i="14"/>
  <c r="G18" i="14"/>
  <c r="I17" i="14"/>
  <c r="G17" i="14"/>
  <c r="I16" i="14"/>
  <c r="G16" i="14"/>
  <c r="F16" i="14"/>
  <c r="J15" i="14"/>
  <c r="G15" i="14"/>
  <c r="F15" i="14"/>
  <c r="I14" i="14"/>
  <c r="G14" i="14"/>
  <c r="G12" i="14"/>
  <c r="J11" i="14"/>
  <c r="I11" i="14"/>
  <c r="G11" i="14"/>
  <c r="I10" i="14"/>
  <c r="G10" i="14"/>
  <c r="I9" i="14"/>
  <c r="G9" i="14"/>
  <c r="F9" i="14"/>
  <c r="I8" i="14"/>
  <c r="G8" i="14"/>
  <c r="F8" i="14"/>
  <c r="J27" i="11"/>
  <c r="I27" i="11"/>
  <c r="G27" i="11"/>
  <c r="J26" i="11"/>
  <c r="I26" i="11"/>
  <c r="G26" i="11"/>
  <c r="J25" i="11"/>
  <c r="G25" i="11"/>
  <c r="J24" i="11"/>
  <c r="G24" i="11"/>
  <c r="F24" i="11"/>
  <c r="J23" i="11"/>
  <c r="G23" i="11"/>
  <c r="F23" i="11"/>
  <c r="K22" i="11"/>
  <c r="J22" i="11"/>
  <c r="H22" i="11"/>
  <c r="G22" i="11"/>
  <c r="F22" i="11"/>
  <c r="I20" i="11"/>
  <c r="G20" i="11"/>
  <c r="J19" i="11"/>
  <c r="I19" i="11"/>
  <c r="G19" i="11"/>
  <c r="J18" i="11"/>
  <c r="G18" i="11"/>
  <c r="D18" i="11"/>
  <c r="K17" i="11"/>
  <c r="J17" i="11"/>
  <c r="D17" i="11"/>
  <c r="K16" i="11"/>
  <c r="J16" i="11"/>
  <c r="G16" i="11"/>
  <c r="F16" i="11"/>
  <c r="D16" i="11"/>
  <c r="J15" i="11"/>
  <c r="G15" i="11"/>
  <c r="G13" i="11"/>
  <c r="K12" i="11"/>
  <c r="G12" i="11"/>
  <c r="J11" i="11"/>
  <c r="G11" i="11"/>
  <c r="J10" i="11"/>
  <c r="G10" i="11"/>
  <c r="F10" i="11"/>
  <c r="J9" i="11"/>
  <c r="G9" i="11"/>
  <c r="F9" i="11"/>
  <c r="J8" i="11"/>
  <c r="G8" i="11"/>
  <c r="E74" i="22"/>
  <c r="E73" i="22"/>
  <c r="K72" i="22"/>
  <c r="L71" i="22"/>
  <c r="K71" i="22"/>
  <c r="E70" i="22"/>
  <c r="L68" i="22"/>
  <c r="K68" i="22"/>
  <c r="G68" i="22"/>
  <c r="E66" i="22"/>
  <c r="K65" i="22"/>
  <c r="E65" i="22"/>
  <c r="L64" i="22"/>
  <c r="K64" i="22"/>
  <c r="E63" i="22"/>
  <c r="M61" i="22"/>
  <c r="L61" i="22"/>
  <c r="K61" i="22"/>
  <c r="G61" i="22"/>
  <c r="L56" i="22"/>
  <c r="L55" i="22"/>
  <c r="K55" i="22"/>
  <c r="E55" i="22"/>
  <c r="K53" i="22"/>
  <c r="L52" i="22"/>
  <c r="K52" i="22"/>
  <c r="L50" i="22"/>
  <c r="K50" i="22"/>
  <c r="E50" i="22"/>
  <c r="E48" i="22"/>
  <c r="M47" i="22"/>
  <c r="L47" i="22"/>
  <c r="K47" i="22"/>
  <c r="H47" i="22"/>
  <c r="F47" i="22"/>
  <c r="E47" i="22"/>
  <c r="E46" i="22"/>
  <c r="M45" i="22"/>
  <c r="L45" i="22"/>
  <c r="K45" i="22"/>
  <c r="H45" i="22"/>
  <c r="F45" i="22"/>
  <c r="E45" i="22"/>
  <c r="H43" i="22"/>
  <c r="E40" i="22"/>
  <c r="H39" i="22"/>
  <c r="G39" i="22"/>
  <c r="E39" i="22"/>
  <c r="J37" i="22"/>
  <c r="H37" i="22"/>
  <c r="G37" i="22"/>
  <c r="E37" i="22"/>
  <c r="J36" i="22"/>
  <c r="E36" i="22"/>
  <c r="H34" i="22"/>
  <c r="G34" i="22"/>
  <c r="E34" i="22"/>
  <c r="G33" i="22"/>
  <c r="E33" i="22"/>
  <c r="J31" i="22"/>
  <c r="H31" i="22"/>
  <c r="G31" i="22"/>
  <c r="E31" i="22"/>
  <c r="H30" i="22"/>
  <c r="G30" i="22"/>
  <c r="E30" i="22"/>
  <c r="H25" i="22"/>
  <c r="E19" i="22"/>
  <c r="H18" i="22"/>
  <c r="G18" i="22"/>
  <c r="E18" i="22"/>
  <c r="E17" i="22"/>
  <c r="E16" i="22"/>
  <c r="E15" i="22"/>
  <c r="E13" i="22"/>
  <c r="K12" i="22"/>
  <c r="G12" i="22"/>
  <c r="E12" i="22"/>
  <c r="G11" i="22"/>
  <c r="E11" i="22"/>
  <c r="E10" i="22"/>
  <c r="E9" i="22"/>
  <c r="E7" i="22"/>
  <c r="E6" i="22"/>
  <c r="E5" i="22"/>
  <c r="H2" i="22"/>
  <c r="G15" i="19"/>
  <c r="E14" i="19"/>
  <c r="B14" i="19"/>
  <c r="B13" i="19"/>
  <c r="C9" i="19"/>
  <c r="A9" i="19"/>
  <c r="C7" i="19"/>
  <c r="E22" i="18"/>
  <c r="G21" i="18"/>
  <c r="G14" i="18"/>
  <c r="E14" i="18"/>
  <c r="E10" i="18"/>
  <c r="C10" i="18"/>
  <c r="A10" i="18"/>
  <c r="C8" i="18"/>
  <c r="C7" i="18"/>
  <c r="C6" i="18"/>
  <c r="C4" i="18"/>
  <c r="M48" i="21"/>
  <c r="M43" i="21"/>
  <c r="M42" i="21"/>
  <c r="L42" i="21"/>
  <c r="I42" i="21"/>
  <c r="Q41" i="21"/>
  <c r="M41" i="21"/>
  <c r="L41" i="21"/>
  <c r="I41" i="21"/>
  <c r="Q40" i="21"/>
  <c r="L40" i="21"/>
  <c r="I40" i="21"/>
  <c r="Q39" i="21"/>
  <c r="M39" i="21"/>
  <c r="Q38" i="21"/>
  <c r="M38" i="21"/>
  <c r="L38" i="21"/>
  <c r="Q37" i="21"/>
  <c r="M37" i="21"/>
  <c r="L37" i="21"/>
  <c r="I37" i="21"/>
  <c r="Q36" i="21"/>
  <c r="M36" i="21"/>
  <c r="L36" i="21"/>
  <c r="I36" i="21"/>
  <c r="Q35" i="21"/>
  <c r="M35" i="21"/>
  <c r="L35" i="21"/>
  <c r="I35" i="21"/>
  <c r="Q34" i="21"/>
  <c r="M34" i="21"/>
  <c r="L34" i="21"/>
  <c r="I34" i="21"/>
  <c r="Q33" i="21"/>
  <c r="L33" i="21"/>
  <c r="I33" i="21"/>
  <c r="M32" i="21"/>
  <c r="M31" i="21"/>
  <c r="L31" i="21"/>
  <c r="I31" i="21"/>
  <c r="N27" i="21"/>
  <c r="J26" i="21"/>
  <c r="A25" i="21"/>
  <c r="A24" i="21"/>
  <c r="A23" i="21"/>
  <c r="A22" i="21"/>
  <c r="M15" i="21"/>
  <c r="M14" i="21"/>
  <c r="M13" i="21"/>
  <c r="L13" i="21"/>
  <c r="I13" i="21"/>
  <c r="D8" i="21"/>
  <c r="A8" i="21"/>
  <c r="A26" i="21" s="1"/>
  <c r="D6" i="21"/>
  <c r="D5" i="21"/>
  <c r="D4" i="21"/>
  <c r="J71" i="24"/>
  <c r="I71" i="24"/>
  <c r="G71" i="24"/>
  <c r="J70" i="24"/>
  <c r="I70" i="24"/>
  <c r="G70" i="24"/>
  <c r="J68" i="24"/>
  <c r="I68" i="24"/>
  <c r="G68" i="24"/>
  <c r="J66" i="24"/>
  <c r="I66" i="24"/>
  <c r="G66" i="24"/>
  <c r="J65" i="24"/>
  <c r="I65" i="24"/>
  <c r="G65" i="24"/>
  <c r="J64" i="24"/>
  <c r="G64" i="24"/>
  <c r="J63" i="24"/>
  <c r="I63" i="24"/>
  <c r="G63" i="24"/>
  <c r="J62" i="24"/>
  <c r="I62" i="24"/>
  <c r="G62" i="24"/>
  <c r="J61" i="24"/>
  <c r="I61" i="24"/>
  <c r="G61" i="24"/>
  <c r="J59" i="24"/>
  <c r="I59" i="24"/>
  <c r="G59" i="24"/>
  <c r="J58" i="24"/>
  <c r="I58" i="24"/>
  <c r="G58" i="24"/>
  <c r="J56" i="24"/>
  <c r="I56" i="24"/>
  <c r="G56" i="24"/>
  <c r="J55" i="24"/>
  <c r="I55" i="24"/>
  <c r="G55" i="24"/>
  <c r="J53" i="24"/>
  <c r="I53" i="24"/>
  <c r="G53" i="24"/>
  <c r="J51" i="24"/>
  <c r="G51" i="24"/>
  <c r="J50" i="24"/>
  <c r="G50" i="24"/>
  <c r="J49" i="24"/>
  <c r="G49" i="24"/>
  <c r="J48" i="24"/>
  <c r="G48" i="24"/>
  <c r="J47" i="24"/>
  <c r="I47" i="24"/>
  <c r="G47" i="24"/>
  <c r="J46" i="24"/>
  <c r="I46" i="24"/>
  <c r="G46" i="24"/>
  <c r="J45" i="24"/>
  <c r="G45" i="24"/>
  <c r="J44" i="24"/>
  <c r="G44" i="24"/>
  <c r="J43" i="24"/>
  <c r="G43" i="24"/>
  <c r="J42" i="24"/>
  <c r="G42" i="24"/>
  <c r="J41" i="24"/>
  <c r="G41" i="24"/>
  <c r="J40" i="24"/>
  <c r="I40" i="24"/>
  <c r="G40" i="24"/>
  <c r="J39" i="24"/>
  <c r="I39" i="24"/>
  <c r="G39" i="24"/>
  <c r="J38" i="24"/>
  <c r="G38" i="24"/>
  <c r="J37" i="24"/>
  <c r="G37" i="24"/>
  <c r="J36" i="24"/>
  <c r="G36" i="24"/>
  <c r="J35" i="24"/>
  <c r="I35" i="24"/>
  <c r="G35" i="24"/>
  <c r="J34" i="24"/>
  <c r="I34" i="24"/>
  <c r="G34" i="24"/>
  <c r="J33" i="24"/>
  <c r="I33" i="24"/>
  <c r="G33" i="24"/>
  <c r="J31" i="24"/>
  <c r="I31" i="24"/>
  <c r="J30" i="24"/>
  <c r="G30" i="24"/>
  <c r="J29" i="24"/>
  <c r="G29" i="24"/>
  <c r="J28" i="24"/>
  <c r="G28" i="24"/>
  <c r="J27" i="24"/>
  <c r="G27" i="24"/>
  <c r="J26" i="24"/>
  <c r="G26" i="24"/>
  <c r="J24" i="24"/>
  <c r="I24" i="24"/>
  <c r="G24" i="24"/>
  <c r="J23" i="24"/>
  <c r="I23" i="24"/>
  <c r="G23" i="24"/>
  <c r="J22" i="24"/>
  <c r="I22" i="24"/>
  <c r="G22" i="24"/>
  <c r="J21" i="24"/>
  <c r="I21" i="24"/>
  <c r="G21" i="24"/>
  <c r="J20" i="24"/>
  <c r="I20" i="24"/>
  <c r="G20" i="24"/>
  <c r="J18" i="24"/>
  <c r="I18" i="24"/>
  <c r="G18" i="24"/>
  <c r="J17" i="24"/>
  <c r="I17" i="24"/>
  <c r="G17" i="24"/>
  <c r="J15" i="24"/>
  <c r="I15" i="24"/>
  <c r="G15" i="24"/>
  <c r="J14" i="24"/>
  <c r="I14" i="24"/>
  <c r="G14" i="24"/>
  <c r="J13" i="24"/>
  <c r="I13" i="24"/>
  <c r="G13" i="24"/>
  <c r="J12" i="24"/>
  <c r="I12" i="24"/>
  <c r="G12" i="24"/>
  <c r="J10" i="24"/>
  <c r="I10" i="24"/>
  <c r="G10" i="24"/>
  <c r="J9" i="24"/>
  <c r="I9" i="24"/>
  <c r="G9" i="24"/>
  <c r="F4" i="24"/>
  <c r="C4" i="24"/>
  <c r="C3" i="24"/>
  <c r="A2" i="24"/>
  <c r="O152" i="43"/>
  <c r="O150" i="43"/>
  <c r="N150" i="43"/>
  <c r="M150" i="43"/>
  <c r="O147" i="43"/>
  <c r="N147" i="43"/>
  <c r="M147" i="43"/>
  <c r="M144" i="43"/>
  <c r="M143" i="43"/>
  <c r="M142" i="43"/>
  <c r="N139" i="43"/>
  <c r="N138" i="43"/>
  <c r="M138" i="43"/>
  <c r="L138" i="43"/>
  <c r="N136" i="43"/>
  <c r="M136" i="43"/>
  <c r="L136" i="43"/>
  <c r="N130" i="43"/>
  <c r="N129" i="43"/>
  <c r="L129" i="43"/>
  <c r="N128" i="43"/>
  <c r="L128" i="43"/>
  <c r="L127" i="43"/>
  <c r="N126" i="43"/>
  <c r="L126" i="43"/>
  <c r="N124" i="43"/>
  <c r="L124" i="43"/>
  <c r="N122" i="43"/>
  <c r="M122" i="43"/>
  <c r="L122" i="43"/>
  <c r="N120" i="43"/>
  <c r="M120" i="43"/>
  <c r="L120" i="43"/>
  <c r="N118" i="43"/>
  <c r="M118" i="43"/>
  <c r="L118" i="43"/>
  <c r="L113" i="43"/>
  <c r="L111" i="43"/>
  <c r="N109" i="43"/>
  <c r="M109" i="43"/>
  <c r="L109" i="43"/>
  <c r="L107" i="43"/>
  <c r="L101" i="43"/>
  <c r="L99" i="43"/>
  <c r="L97" i="43"/>
  <c r="L95" i="43"/>
  <c r="L93" i="43"/>
  <c r="L86" i="43"/>
  <c r="L83" i="43"/>
  <c r="N81" i="43"/>
  <c r="L81" i="43"/>
  <c r="L79" i="43"/>
  <c r="L76" i="43"/>
  <c r="L74" i="43"/>
  <c r="L71" i="43"/>
  <c r="L69" i="43"/>
  <c r="L65" i="43"/>
  <c r="L63" i="43"/>
  <c r="L60" i="43"/>
  <c r="L58" i="43"/>
  <c r="L56" i="43"/>
  <c r="L54" i="43"/>
  <c r="L52" i="43"/>
  <c r="L50" i="43"/>
  <c r="L43" i="43"/>
  <c r="L41" i="43"/>
  <c r="L39" i="43"/>
  <c r="L37" i="43"/>
  <c r="L31" i="43"/>
  <c r="H31" i="43"/>
  <c r="G31" i="43"/>
  <c r="E31" i="43"/>
  <c r="L30" i="43"/>
  <c r="J30" i="43"/>
  <c r="H30" i="43"/>
  <c r="G30" i="43"/>
  <c r="E30" i="43"/>
  <c r="C25" i="43"/>
  <c r="E19" i="43"/>
  <c r="H18" i="43"/>
  <c r="G18" i="43"/>
  <c r="J15" i="43"/>
  <c r="E15" i="43"/>
  <c r="E13" i="43"/>
  <c r="K12" i="43"/>
  <c r="G12" i="43"/>
  <c r="G11" i="43"/>
  <c r="J9" i="43"/>
  <c r="E9" i="43"/>
  <c r="J8" i="43"/>
  <c r="G7" i="43"/>
  <c r="F7" i="43"/>
  <c r="E7" i="43"/>
  <c r="G6" i="43"/>
  <c r="F6" i="43"/>
  <c r="E6" i="43"/>
  <c r="E5" i="43"/>
  <c r="G39" i="30"/>
  <c r="G38" i="30"/>
  <c r="G36" i="30"/>
  <c r="G35" i="30"/>
  <c r="G34" i="30"/>
  <c r="F34" i="30"/>
  <c r="I33" i="30"/>
  <c r="G33" i="30"/>
  <c r="F33" i="30"/>
  <c r="G31" i="30"/>
  <c r="G30" i="30"/>
  <c r="G29" i="30"/>
  <c r="K28" i="30"/>
  <c r="G28" i="30"/>
  <c r="F28" i="30"/>
  <c r="G27" i="30"/>
  <c r="G25" i="30"/>
  <c r="G24" i="30"/>
  <c r="G23" i="30"/>
  <c r="K22" i="30"/>
  <c r="G22" i="30"/>
  <c r="G21" i="30"/>
  <c r="G19" i="30"/>
  <c r="G18" i="30"/>
  <c r="G17" i="30"/>
  <c r="G16" i="30"/>
  <c r="G15" i="30"/>
  <c r="G13" i="30"/>
  <c r="G12" i="30"/>
  <c r="G11" i="30"/>
  <c r="G10" i="30"/>
  <c r="G9" i="30"/>
  <c r="I8" i="30"/>
  <c r="G8" i="30"/>
  <c r="J27" i="29"/>
  <c r="I27" i="29"/>
  <c r="G27" i="29"/>
  <c r="J26" i="29"/>
  <c r="I26" i="29"/>
  <c r="G26" i="29"/>
  <c r="J25" i="29"/>
  <c r="G25" i="29"/>
  <c r="J24" i="29"/>
  <c r="G24" i="29"/>
  <c r="F24" i="29"/>
  <c r="J23" i="29"/>
  <c r="G23" i="29"/>
  <c r="F23" i="29"/>
  <c r="K22" i="29"/>
  <c r="J22" i="29"/>
  <c r="H22" i="29"/>
  <c r="G22" i="29"/>
  <c r="F22" i="29"/>
  <c r="I20" i="29"/>
  <c r="G20" i="29"/>
  <c r="J19" i="29"/>
  <c r="I19" i="29"/>
  <c r="G19" i="29"/>
  <c r="J18" i="29"/>
  <c r="G18" i="29"/>
  <c r="D18" i="29"/>
  <c r="K17" i="29"/>
  <c r="J17" i="29"/>
  <c r="D17" i="29"/>
  <c r="K16" i="29"/>
  <c r="J16" i="29"/>
  <c r="G16" i="29"/>
  <c r="F16" i="29"/>
  <c r="D16" i="29"/>
  <c r="J15" i="29"/>
  <c r="G15" i="29"/>
  <c r="G13" i="29"/>
  <c r="K12" i="29"/>
  <c r="G12" i="29"/>
  <c r="J11" i="29"/>
  <c r="G11" i="29"/>
  <c r="J10" i="29"/>
  <c r="G10" i="29"/>
  <c r="F10" i="29"/>
  <c r="J9" i="29"/>
  <c r="G9" i="29"/>
  <c r="F9" i="29"/>
  <c r="J8" i="29"/>
  <c r="G8" i="29"/>
  <c r="AH39" i="31"/>
  <c r="AH38" i="31"/>
  <c r="AH37" i="31"/>
  <c r="AH36" i="31"/>
  <c r="AH35" i="31"/>
  <c r="AH34" i="31"/>
  <c r="AH33" i="31"/>
  <c r="AE33" i="31"/>
  <c r="AH32" i="31"/>
  <c r="AE32" i="31"/>
  <c r="AH31" i="31"/>
  <c r="AE31" i="31"/>
  <c r="AH30" i="31"/>
  <c r="AE30" i="31"/>
  <c r="AH26" i="31"/>
  <c r="AH25" i="31"/>
  <c r="AH24" i="31"/>
  <c r="AH23" i="31"/>
  <c r="AH22" i="31"/>
  <c r="AH21" i="31"/>
  <c r="AH20" i="31"/>
  <c r="AE20" i="31"/>
  <c r="AH19" i="31"/>
  <c r="AE19" i="31"/>
  <c r="M19" i="31"/>
  <c r="L19" i="31"/>
  <c r="K19" i="31"/>
  <c r="J19" i="31"/>
  <c r="I19" i="31"/>
  <c r="AH18" i="31"/>
  <c r="AE18" i="31"/>
  <c r="AH17" i="31"/>
  <c r="AE17" i="31"/>
  <c r="M17" i="31"/>
  <c r="L17" i="31"/>
  <c r="K17" i="31"/>
  <c r="J17" i="31"/>
  <c r="I17" i="31"/>
  <c r="H17" i="31"/>
  <c r="F17" i="31"/>
  <c r="V16" i="31"/>
  <c r="M16" i="31"/>
  <c r="L16" i="31"/>
  <c r="K16" i="31"/>
  <c r="J16" i="31"/>
  <c r="I16" i="31"/>
  <c r="H16" i="31"/>
  <c r="F16" i="31"/>
  <c r="M15" i="31"/>
  <c r="L15" i="31"/>
  <c r="K15" i="31"/>
  <c r="J15" i="31"/>
  <c r="I15" i="31"/>
  <c r="H15" i="31"/>
  <c r="F15" i="31"/>
  <c r="AH13" i="31"/>
  <c r="AH12" i="31"/>
  <c r="M10" i="31"/>
  <c r="L10" i="31"/>
  <c r="K10" i="31"/>
  <c r="J10" i="31"/>
  <c r="I10" i="31"/>
  <c r="AH9" i="31"/>
  <c r="AH8" i="31"/>
  <c r="M8" i="31"/>
  <c r="L8" i="31"/>
  <c r="K8" i="31"/>
  <c r="J8" i="31"/>
  <c r="I8" i="31"/>
  <c r="H8" i="31"/>
  <c r="F8" i="31"/>
  <c r="AT7" i="31"/>
  <c r="AH7" i="31"/>
  <c r="AE7" i="31"/>
  <c r="M7" i="31"/>
  <c r="L7" i="31"/>
  <c r="K7" i="31"/>
  <c r="J7" i="31"/>
  <c r="I7" i="31"/>
  <c r="H7" i="31"/>
  <c r="F7" i="31"/>
  <c r="AT6" i="31"/>
  <c r="AH6" i="31"/>
  <c r="AE6" i="31"/>
  <c r="M6" i="31"/>
  <c r="L6" i="31"/>
  <c r="K6" i="31"/>
  <c r="J6" i="31"/>
  <c r="I6" i="31"/>
  <c r="H6" i="31"/>
  <c r="F6" i="31"/>
  <c r="AT5" i="31"/>
  <c r="AH5" i="31"/>
  <c r="AE5" i="31"/>
  <c r="AT4" i="31"/>
  <c r="AH4" i="31"/>
  <c r="AE4" i="31"/>
  <c r="AT3" i="31"/>
  <c r="AO3" i="31"/>
  <c r="BC2" i="31"/>
  <c r="AT2" i="31"/>
  <c r="G21" i="6"/>
  <c r="G19" i="6"/>
  <c r="F16" i="6"/>
  <c r="B16" i="6"/>
  <c r="F15" i="6"/>
  <c r="B15" i="6"/>
  <c r="E10" i="6"/>
  <c r="C10" i="6"/>
  <c r="A10" i="6"/>
  <c r="C8" i="6"/>
  <c r="C7" i="6"/>
  <c r="C6" i="19" s="1"/>
  <c r="C6" i="6"/>
  <c r="C5" i="19" s="1"/>
  <c r="B5" i="6"/>
  <c r="C4" i="6"/>
  <c r="C5" i="18" s="1"/>
  <c r="P269" i="5"/>
  <c r="P268" i="5"/>
  <c r="P267" i="5"/>
  <c r="P266" i="5"/>
  <c r="P265" i="5"/>
  <c r="P264" i="5"/>
  <c r="P263" i="5"/>
  <c r="P262" i="5"/>
  <c r="K93" i="5"/>
  <c r="I93" i="5"/>
  <c r="K92" i="5"/>
  <c r="I92" i="5"/>
  <c r="K91" i="5"/>
  <c r="I91" i="5"/>
  <c r="K90" i="5"/>
  <c r="I90" i="5"/>
  <c r="K84" i="5"/>
  <c r="I84" i="5"/>
  <c r="L84" i="5" s="1"/>
  <c r="O86" i="5"/>
  <c r="J83" i="5"/>
  <c r="K83" i="5" s="1"/>
  <c r="I83" i="5"/>
  <c r="K82" i="5"/>
  <c r="I82" i="5"/>
  <c r="L82" i="5" s="1"/>
  <c r="K81" i="5"/>
  <c r="I81" i="5"/>
  <c r="I79" i="5"/>
  <c r="K78" i="5"/>
  <c r="I78" i="5"/>
  <c r="L78" i="5" s="1"/>
  <c r="O81" i="5"/>
  <c r="I77" i="5"/>
  <c r="K70" i="5"/>
  <c r="H70" i="5"/>
  <c r="I70" i="5" s="1"/>
  <c r="L70" i="5" s="1"/>
  <c r="K69" i="5"/>
  <c r="H69" i="5"/>
  <c r="I69" i="5" s="1"/>
  <c r="L69" i="5" s="1"/>
  <c r="K67" i="5"/>
  <c r="H67" i="5"/>
  <c r="I67" i="5" s="1"/>
  <c r="K62" i="5"/>
  <c r="I62" i="5"/>
  <c r="K61" i="5"/>
  <c r="L61" i="5" s="1"/>
  <c r="K60" i="5"/>
  <c r="H50" i="5"/>
  <c r="F50" i="5"/>
  <c r="K50" i="5" s="1"/>
  <c r="H49" i="5"/>
  <c r="F49" i="5"/>
  <c r="K49" i="5" s="1"/>
  <c r="H48" i="5"/>
  <c r="F48" i="5"/>
  <c r="K48" i="5" s="1"/>
  <c r="H47" i="5"/>
  <c r="F47" i="5"/>
  <c r="K47" i="5" s="1"/>
  <c r="H46" i="5"/>
  <c r="F46" i="5"/>
  <c r="K46" i="5" s="1"/>
  <c r="H45" i="5"/>
  <c r="F45" i="5"/>
  <c r="K45" i="5" s="1"/>
  <c r="K42" i="5"/>
  <c r="I42" i="5"/>
  <c r="L42" i="5" s="1"/>
  <c r="K41" i="5"/>
  <c r="I41" i="5"/>
  <c r="L41" i="5" s="1"/>
  <c r="K40" i="5"/>
  <c r="H40" i="5"/>
  <c r="I40" i="5" s="1"/>
  <c r="L40" i="5" s="1"/>
  <c r="K39" i="5"/>
  <c r="H39" i="5"/>
  <c r="I39" i="5" s="1"/>
  <c r="K38" i="5"/>
  <c r="H38" i="5"/>
  <c r="I38" i="5" s="1"/>
  <c r="K28" i="5"/>
  <c r="N28" i="5" s="1"/>
  <c r="I28" i="5"/>
  <c r="K27" i="5"/>
  <c r="I27" i="5"/>
  <c r="K25" i="5"/>
  <c r="H25" i="5"/>
  <c r="I25" i="5" s="1"/>
  <c r="L25" i="5" s="1"/>
  <c r="K24" i="5"/>
  <c r="H24" i="5"/>
  <c r="I24" i="5" s="1"/>
  <c r="L24" i="5" s="1"/>
  <c r="K23" i="5"/>
  <c r="H23" i="5"/>
  <c r="I23" i="5" s="1"/>
  <c r="J22" i="5"/>
  <c r="K22" i="5" s="1"/>
  <c r="H22" i="5"/>
  <c r="I22" i="5" s="1"/>
  <c r="J21" i="5"/>
  <c r="K21" i="5" s="1"/>
  <c r="H21" i="5"/>
  <c r="I21" i="5" s="1"/>
  <c r="L21" i="5" s="1"/>
  <c r="J20" i="5"/>
  <c r="K20" i="5" s="1"/>
  <c r="H20" i="5"/>
  <c r="I20" i="5" s="1"/>
  <c r="J19" i="5"/>
  <c r="K19" i="5" s="1"/>
  <c r="H19" i="5"/>
  <c r="I19" i="5" s="1"/>
  <c r="J18" i="5"/>
  <c r="K18" i="5" s="1"/>
  <c r="H18" i="5"/>
  <c r="I18" i="5" s="1"/>
  <c r="L18" i="5" s="1"/>
  <c r="K16" i="5"/>
  <c r="H16" i="5"/>
  <c r="I16" i="5" s="1"/>
  <c r="K15" i="5"/>
  <c r="I15" i="5"/>
  <c r="K13" i="5"/>
  <c r="I13" i="5"/>
  <c r="M67" i="41"/>
  <c r="M62" i="41"/>
  <c r="M61" i="41"/>
  <c r="L61" i="41"/>
  <c r="I61" i="41"/>
  <c r="Q60" i="41"/>
  <c r="M60" i="41"/>
  <c r="L60" i="41"/>
  <c r="I60" i="41"/>
  <c r="Q59" i="41"/>
  <c r="L59" i="41"/>
  <c r="I59" i="41"/>
  <c r="Q58" i="41"/>
  <c r="M58" i="41"/>
  <c r="Q57" i="41"/>
  <c r="M57" i="41"/>
  <c r="L57" i="41"/>
  <c r="Q56" i="41"/>
  <c r="M56" i="41"/>
  <c r="L56" i="41"/>
  <c r="I56" i="41"/>
  <c r="Q55" i="41"/>
  <c r="M55" i="41"/>
  <c r="L55" i="41"/>
  <c r="I55" i="41"/>
  <c r="Q54" i="41"/>
  <c r="M54" i="41"/>
  <c r="L54" i="41"/>
  <c r="I54" i="41"/>
  <c r="Q53" i="41"/>
  <c r="M53" i="41"/>
  <c r="L53" i="41"/>
  <c r="I53" i="41"/>
  <c r="Q52" i="41"/>
  <c r="L52" i="41"/>
  <c r="I52" i="41"/>
  <c r="M51" i="41"/>
  <c r="M50" i="41"/>
  <c r="L50" i="41"/>
  <c r="I50" i="41"/>
  <c r="N46" i="41"/>
  <c r="J45" i="41"/>
  <c r="A45" i="41"/>
  <c r="A44" i="41"/>
  <c r="A43" i="41"/>
  <c r="A42" i="41"/>
  <c r="A41" i="41"/>
  <c r="O31" i="41"/>
  <c r="M31" i="41"/>
  <c r="L31" i="41"/>
  <c r="I31" i="41"/>
  <c r="F31" i="41"/>
  <c r="M30" i="41"/>
  <c r="L30" i="41"/>
  <c r="I30" i="41"/>
  <c r="F30" i="41"/>
  <c r="M29" i="41"/>
  <c r="L29" i="41"/>
  <c r="I29" i="41"/>
  <c r="F29" i="41"/>
  <c r="M28" i="41"/>
  <c r="L28" i="41"/>
  <c r="J28" i="41"/>
  <c r="I28" i="41"/>
  <c r="F28" i="41"/>
  <c r="M27" i="41"/>
  <c r="L27" i="41"/>
  <c r="F27" i="41"/>
  <c r="M26" i="41"/>
  <c r="L26" i="41"/>
  <c r="J26" i="41"/>
  <c r="I26" i="41"/>
  <c r="F26" i="41"/>
  <c r="M25" i="41"/>
  <c r="L25" i="41"/>
  <c r="I25" i="41"/>
  <c r="F25" i="41"/>
  <c r="L24" i="41"/>
  <c r="H24" i="41"/>
  <c r="I24" i="41" s="1"/>
  <c r="M24" i="41" s="1"/>
  <c r="O23" i="41"/>
  <c r="L23" i="41"/>
  <c r="H23" i="41"/>
  <c r="I23" i="41" s="1"/>
  <c r="M23" i="41" s="1"/>
  <c r="F23" i="41"/>
  <c r="L22" i="41"/>
  <c r="H22" i="41"/>
  <c r="I22" i="41" s="1"/>
  <c r="M22" i="41" s="1"/>
  <c r="F22" i="41"/>
  <c r="M20" i="41"/>
  <c r="L20" i="41"/>
  <c r="I20" i="41"/>
  <c r="F20" i="41"/>
  <c r="L18" i="41"/>
  <c r="I18" i="41"/>
  <c r="M18" i="41" s="1"/>
  <c r="F18" i="41"/>
  <c r="M17" i="41"/>
  <c r="L17" i="41"/>
  <c r="H17" i="41"/>
  <c r="F17" i="41"/>
  <c r="M16" i="41"/>
  <c r="L16" i="41"/>
  <c r="I16" i="41"/>
  <c r="F16" i="41"/>
  <c r="M15" i="41"/>
  <c r="L15" i="41"/>
  <c r="F15" i="41"/>
  <c r="D9" i="41"/>
  <c r="D7" i="41"/>
  <c r="D6" i="41"/>
  <c r="D5" i="41"/>
  <c r="D4" i="41"/>
  <c r="M63" i="42"/>
  <c r="M58" i="42"/>
  <c r="M57" i="42"/>
  <c r="L57" i="42"/>
  <c r="I57" i="42"/>
  <c r="Q56" i="42"/>
  <c r="M56" i="42"/>
  <c r="L56" i="42"/>
  <c r="I56" i="42"/>
  <c r="Q55" i="42"/>
  <c r="L55" i="42"/>
  <c r="I55" i="42"/>
  <c r="Q54" i="42"/>
  <c r="M54" i="42"/>
  <c r="Q53" i="42"/>
  <c r="M53" i="42"/>
  <c r="L53" i="42"/>
  <c r="Q52" i="42"/>
  <c r="M52" i="42"/>
  <c r="L52" i="42"/>
  <c r="I52" i="42"/>
  <c r="Q51" i="42"/>
  <c r="M51" i="42"/>
  <c r="L51" i="42"/>
  <c r="I51" i="42"/>
  <c r="Q50" i="42"/>
  <c r="M50" i="42"/>
  <c r="L50" i="42"/>
  <c r="I50" i="42"/>
  <c r="Q49" i="42"/>
  <c r="M49" i="42"/>
  <c r="L49" i="42"/>
  <c r="I49" i="42"/>
  <c r="Q48" i="42"/>
  <c r="L48" i="42"/>
  <c r="I48" i="42"/>
  <c r="M47" i="42"/>
  <c r="M46" i="42"/>
  <c r="L46" i="42"/>
  <c r="I46" i="42"/>
  <c r="N42" i="42"/>
  <c r="J41" i="42"/>
  <c r="A40" i="42"/>
  <c r="A39" i="42"/>
  <c r="A38" i="42"/>
  <c r="A37" i="42"/>
  <c r="O17" i="42"/>
  <c r="L17" i="42"/>
  <c r="I17" i="42"/>
  <c r="G17" i="42"/>
  <c r="F17" i="42"/>
  <c r="M15" i="42"/>
  <c r="L15" i="42"/>
  <c r="J15" i="42"/>
  <c r="I15" i="42"/>
  <c r="F15" i="42"/>
  <c r="D7" i="42"/>
  <c r="D6" i="42"/>
  <c r="D5" i="42"/>
  <c r="I4" i="42"/>
  <c r="D4" i="42"/>
  <c r="P23" i="33"/>
  <c r="M17" i="33"/>
  <c r="G17" i="33"/>
  <c r="M16" i="33"/>
  <c r="G16" i="33"/>
  <c r="B16" i="33"/>
  <c r="M15" i="33"/>
  <c r="G15" i="33"/>
  <c r="B15" i="33"/>
  <c r="M14" i="33"/>
  <c r="G14" i="33"/>
  <c r="B14" i="33"/>
  <c r="M13" i="33"/>
  <c r="G13" i="33"/>
  <c r="B13" i="33"/>
  <c r="M12" i="33"/>
  <c r="G12" i="33"/>
  <c r="B12" i="33"/>
  <c r="J11" i="33"/>
  <c r="H11" i="33"/>
  <c r="G11" i="33"/>
  <c r="B11" i="33"/>
  <c r="H7" i="33"/>
  <c r="D7" i="33"/>
  <c r="D6" i="33"/>
  <c r="F5" i="33"/>
  <c r="D5" i="33"/>
  <c r="D4" i="33"/>
  <c r="K3" i="33"/>
  <c r="D3" i="33"/>
  <c r="D2" i="33"/>
  <c r="J14" i="26"/>
  <c r="J13" i="26"/>
  <c r="J12" i="26"/>
  <c r="I12" i="26"/>
  <c r="G12" i="26"/>
  <c r="J10" i="26"/>
  <c r="I10" i="26"/>
  <c r="G10" i="26"/>
  <c r="D10" i="26"/>
  <c r="J9" i="26"/>
  <c r="I9" i="26"/>
  <c r="G9" i="26"/>
  <c r="D9" i="26"/>
  <c r="F4" i="26"/>
  <c r="C4" i="26"/>
  <c r="C3" i="26"/>
  <c r="A2" i="26"/>
  <c r="G12" i="25"/>
  <c r="I8" i="25"/>
  <c r="I12" i="25" s="1"/>
  <c r="G8" i="25"/>
  <c r="F4" i="25"/>
  <c r="C3" i="25"/>
  <c r="A2" i="25"/>
  <c r="K126" i="32"/>
  <c r="K121" i="32"/>
  <c r="H121" i="32"/>
  <c r="K120" i="32"/>
  <c r="J120" i="32"/>
  <c r="H120" i="32"/>
  <c r="K119" i="32"/>
  <c r="H119" i="32"/>
  <c r="K118" i="32"/>
  <c r="H118" i="32"/>
  <c r="K117" i="32"/>
  <c r="K99" i="32"/>
  <c r="K98" i="32"/>
  <c r="H98" i="32"/>
  <c r="K97" i="32"/>
  <c r="H97" i="32"/>
  <c r="K96" i="32"/>
  <c r="H96" i="32"/>
  <c r="K95" i="32"/>
  <c r="H95" i="32"/>
  <c r="K94" i="32"/>
  <c r="H94" i="32"/>
  <c r="K93" i="32"/>
  <c r="H93" i="32"/>
  <c r="K92" i="32"/>
  <c r="H92" i="32"/>
  <c r="K91" i="32"/>
  <c r="H91" i="32"/>
  <c r="K90" i="32"/>
  <c r="K71" i="32"/>
  <c r="K70" i="32"/>
  <c r="H70" i="32"/>
  <c r="K68" i="32"/>
  <c r="H68" i="32"/>
  <c r="K67" i="32"/>
  <c r="H67" i="32"/>
  <c r="K66" i="32"/>
  <c r="H66" i="32"/>
  <c r="K65" i="32"/>
  <c r="H65" i="32"/>
  <c r="K64" i="32"/>
  <c r="H64" i="32"/>
  <c r="K63" i="32"/>
  <c r="K45" i="32"/>
  <c r="K44" i="32"/>
  <c r="H44" i="32"/>
  <c r="K43" i="32"/>
  <c r="H43" i="32"/>
  <c r="K42" i="32"/>
  <c r="H42" i="32"/>
  <c r="K41" i="32"/>
  <c r="H41" i="32"/>
  <c r="K40" i="32"/>
  <c r="H40" i="32"/>
  <c r="K38" i="32"/>
  <c r="J38" i="32"/>
  <c r="K37" i="32"/>
  <c r="H37" i="32"/>
  <c r="K36" i="32"/>
  <c r="K18" i="32"/>
  <c r="K17" i="32"/>
  <c r="H17" i="32"/>
  <c r="K16" i="32"/>
  <c r="H16" i="32"/>
  <c r="K14" i="32"/>
  <c r="H14" i="32"/>
  <c r="K13" i="32"/>
  <c r="H13" i="32"/>
  <c r="K12" i="32"/>
  <c r="J12" i="32"/>
  <c r="K11" i="32"/>
  <c r="J11" i="32"/>
  <c r="H11" i="32"/>
  <c r="K10" i="32"/>
  <c r="J10" i="32"/>
  <c r="H10" i="32"/>
  <c r="K9" i="32"/>
  <c r="J9" i="32"/>
  <c r="H9" i="32"/>
  <c r="L138" i="27"/>
  <c r="K138" i="27"/>
  <c r="I138" i="27"/>
  <c r="L137" i="27"/>
  <c r="K137" i="27"/>
  <c r="I137" i="27"/>
  <c r="L136" i="27"/>
  <c r="K136" i="27"/>
  <c r="I136" i="27"/>
  <c r="L135" i="27"/>
  <c r="K135" i="27"/>
  <c r="I135" i="27"/>
  <c r="L134" i="27"/>
  <c r="K134" i="27"/>
  <c r="I134" i="27"/>
  <c r="L133" i="27"/>
  <c r="K133" i="27"/>
  <c r="I133" i="27"/>
  <c r="L132" i="27"/>
  <c r="K132" i="27"/>
  <c r="I132" i="27"/>
  <c r="D129" i="27"/>
  <c r="D128" i="27"/>
  <c r="D127" i="27"/>
  <c r="D126" i="27"/>
  <c r="L95" i="27"/>
  <c r="K95" i="27"/>
  <c r="I95" i="27"/>
  <c r="L94" i="27"/>
  <c r="K94" i="27"/>
  <c r="I94" i="27"/>
  <c r="L93" i="27"/>
  <c r="K93" i="27"/>
  <c r="I93" i="27"/>
  <c r="L92" i="27"/>
  <c r="K92" i="27"/>
  <c r="I92" i="27"/>
  <c r="L91" i="27"/>
  <c r="K91" i="27"/>
  <c r="I91" i="27"/>
  <c r="D87" i="27"/>
  <c r="D86" i="27"/>
  <c r="D85" i="27"/>
  <c r="D84" i="27"/>
  <c r="L67" i="27"/>
  <c r="K67" i="27"/>
  <c r="I67" i="27"/>
  <c r="L66" i="27"/>
  <c r="K66" i="27"/>
  <c r="I66" i="27"/>
  <c r="L65" i="27"/>
  <c r="K65" i="27"/>
  <c r="I65" i="27"/>
  <c r="L63" i="27"/>
  <c r="K63" i="27"/>
  <c r="I63" i="27"/>
  <c r="L62" i="27"/>
  <c r="K62" i="27"/>
  <c r="I62" i="27"/>
  <c r="L61" i="27"/>
  <c r="I61" i="27"/>
  <c r="L59" i="27"/>
  <c r="K59" i="27"/>
  <c r="I59" i="27"/>
  <c r="L58" i="27"/>
  <c r="K58" i="27"/>
  <c r="I58" i="27"/>
  <c r="L57" i="27"/>
  <c r="K57" i="27"/>
  <c r="I57" i="27"/>
  <c r="L56" i="27"/>
  <c r="K56" i="27"/>
  <c r="I56" i="27"/>
  <c r="L55" i="27"/>
  <c r="K55" i="27"/>
  <c r="I55" i="27"/>
  <c r="L54" i="27"/>
  <c r="K54" i="27"/>
  <c r="I54" i="27"/>
  <c r="L53" i="27"/>
  <c r="K53" i="27"/>
  <c r="I53" i="27"/>
  <c r="L50" i="27"/>
  <c r="K50" i="27"/>
  <c r="I50" i="27"/>
  <c r="D47" i="27"/>
  <c r="D46" i="27"/>
  <c r="D45" i="27"/>
  <c r="D44" i="27"/>
  <c r="D43" i="27"/>
  <c r="L36" i="27"/>
  <c r="K36" i="27"/>
  <c r="I36" i="27"/>
  <c r="L35" i="27"/>
  <c r="K35" i="27"/>
  <c r="I35" i="27"/>
  <c r="L34" i="27"/>
  <c r="K34" i="27"/>
  <c r="I34" i="27"/>
  <c r="L33" i="27"/>
  <c r="K33" i="27"/>
  <c r="I33" i="27"/>
  <c r="L32" i="27"/>
  <c r="K32" i="27"/>
  <c r="I32" i="27"/>
  <c r="L31" i="27"/>
  <c r="K31" i="27"/>
  <c r="I31" i="27"/>
  <c r="L29" i="27"/>
  <c r="K29" i="27"/>
  <c r="I29" i="27"/>
  <c r="L27" i="27"/>
  <c r="K27" i="27"/>
  <c r="I27" i="27"/>
  <c r="L26" i="27"/>
  <c r="K26" i="27"/>
  <c r="L25" i="27"/>
  <c r="K25" i="27"/>
  <c r="I25" i="27"/>
  <c r="L23" i="27"/>
  <c r="K23" i="27"/>
  <c r="I23" i="27"/>
  <c r="L22" i="27"/>
  <c r="K22" i="27"/>
  <c r="I22" i="27"/>
  <c r="L21" i="27"/>
  <c r="K21" i="27"/>
  <c r="I21" i="27"/>
  <c r="L20" i="27"/>
  <c r="K20" i="27"/>
  <c r="I20" i="27"/>
  <c r="L19" i="27"/>
  <c r="K19" i="27"/>
  <c r="I19" i="27"/>
  <c r="L18" i="27"/>
  <c r="K18" i="27"/>
  <c r="I18" i="27"/>
  <c r="L17" i="27"/>
  <c r="K17" i="27"/>
  <c r="I17" i="27"/>
  <c r="L16" i="27"/>
  <c r="K16" i="27"/>
  <c r="I16" i="27"/>
  <c r="L14" i="27"/>
  <c r="K14" i="27"/>
  <c r="I14" i="27"/>
  <c r="L13" i="27"/>
  <c r="K13" i="27"/>
  <c r="I13" i="27"/>
  <c r="L12" i="27"/>
  <c r="K12" i="27"/>
  <c r="I12" i="27"/>
  <c r="L11" i="27"/>
  <c r="K11" i="27"/>
  <c r="I11" i="27"/>
  <c r="L10" i="27"/>
  <c r="K10" i="27"/>
  <c r="I10" i="27"/>
  <c r="J62" i="8"/>
  <c r="F62" i="8"/>
  <c r="G56" i="8"/>
  <c r="G54" i="8"/>
  <c r="K53" i="8"/>
  <c r="G53" i="8"/>
  <c r="H52" i="8"/>
  <c r="Q49" i="8"/>
  <c r="G49" i="8"/>
  <c r="Q48" i="8"/>
  <c r="G48" i="8"/>
  <c r="Q46" i="8"/>
  <c r="G46" i="8"/>
  <c r="G43" i="8"/>
  <c r="Q31" i="8"/>
  <c r="G31" i="8"/>
  <c r="Q27" i="8"/>
  <c r="G27" i="8"/>
  <c r="Q24" i="8"/>
  <c r="G24" i="8"/>
  <c r="Q20" i="8"/>
  <c r="G20" i="8"/>
  <c r="Q17" i="8"/>
  <c r="P17" i="8"/>
  <c r="O17" i="8"/>
  <c r="M17" i="8"/>
  <c r="L17" i="8"/>
  <c r="J17" i="8"/>
  <c r="I17" i="8"/>
  <c r="G17" i="8"/>
  <c r="Q16" i="8"/>
  <c r="P16" i="8"/>
  <c r="M16" i="8"/>
  <c r="L16" i="8"/>
  <c r="J16" i="8"/>
  <c r="I16" i="8"/>
  <c r="G16" i="8"/>
  <c r="Q12" i="8"/>
  <c r="N12" i="8"/>
  <c r="M12" i="8"/>
  <c r="L12" i="8"/>
  <c r="J12" i="8"/>
  <c r="G12" i="8"/>
  <c r="AP8" i="8"/>
  <c r="AO8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E3" i="8"/>
  <c r="B3" i="8"/>
  <c r="B2" i="8"/>
  <c r="D14" i="7"/>
  <c r="N10" i="7"/>
  <c r="J8" i="25" l="1"/>
  <c r="J12" i="25" s="1"/>
  <c r="J13" i="25" s="1"/>
  <c r="L77" i="5"/>
  <c r="L60" i="5"/>
  <c r="L13" i="5"/>
  <c r="L22" i="5"/>
  <c r="L62" i="5"/>
  <c r="L79" i="5"/>
  <c r="L16" i="5"/>
  <c r="L23" i="5"/>
  <c r="L81" i="5"/>
  <c r="L39" i="5"/>
  <c r="L67" i="5"/>
  <c r="L71" i="5" s="1"/>
  <c r="M33" i="41"/>
  <c r="E17" i="6" s="1"/>
  <c r="G17" i="6" s="1"/>
  <c r="L90" i="5"/>
  <c r="L93" i="5"/>
  <c r="L91" i="5"/>
  <c r="L92" i="5"/>
  <c r="P270" i="5"/>
  <c r="L27" i="5"/>
  <c r="L19" i="5"/>
  <c r="L20" i="5"/>
  <c r="I45" i="5"/>
  <c r="L45" i="5" s="1"/>
  <c r="I48" i="5"/>
  <c r="L48" i="5" s="1"/>
  <c r="I46" i="5"/>
  <c r="L46" i="5" s="1"/>
  <c r="I49" i="5"/>
  <c r="L49" i="5" s="1"/>
  <c r="L83" i="5"/>
  <c r="L28" i="5"/>
  <c r="I47" i="5"/>
  <c r="L47" i="5" s="1"/>
  <c r="I50" i="5"/>
  <c r="L50" i="5" s="1"/>
  <c r="L38" i="5"/>
  <c r="M29" i="42"/>
  <c r="O29" i="42"/>
  <c r="E18" i="6"/>
  <c r="G18" i="6" s="1"/>
  <c r="M30" i="42"/>
  <c r="O15" i="42"/>
  <c r="O18" i="42" s="1"/>
  <c r="L15" i="5"/>
  <c r="P56" i="5"/>
  <c r="C4" i="19"/>
  <c r="L85" i="5" l="1"/>
  <c r="E15" i="6" s="1"/>
  <c r="G15" i="6" s="1"/>
  <c r="L30" i="5"/>
  <c r="L36" i="5" s="1"/>
  <c r="L95" i="5"/>
  <c r="E16" i="6" s="1"/>
  <c r="G16" i="6" s="1"/>
  <c r="M34" i="41"/>
  <c r="L86" i="5"/>
  <c r="L52" i="5"/>
  <c r="L58" i="5" s="1"/>
  <c r="L63" i="5" s="1"/>
  <c r="L64" i="5" s="1"/>
  <c r="E14" i="6"/>
  <c r="G14" i="6" s="1"/>
  <c r="L72" i="5"/>
  <c r="L96" i="5" l="1"/>
  <c r="E13" i="6"/>
  <c r="G13" i="6" s="1"/>
  <c r="G29" i="6" s="1"/>
  <c r="G30" i="6" s="1"/>
  <c r="E31" i="6" s="1"/>
  <c r="E13" i="19" l="1"/>
  <c r="G16" i="19" s="1"/>
  <c r="O14" i="21" s="1"/>
  <c r="D33" i="6"/>
  <c r="G17" i="19" l="1"/>
  <c r="N243" i="5" s="1"/>
  <c r="D21" i="19"/>
  <c r="G18" i="1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t.tharatep</author>
  </authors>
  <commentList>
    <comment ref="D20" authorId="0" shapeId="0" xr:uid="{00000000-0006-0000-0000-000001000000}">
      <text>
        <r>
          <rPr>
            <b/>
            <sz val="8"/>
            <rFont val="Tahoma"/>
            <charset val="134"/>
          </rPr>
          <t>t.tharatep:</t>
        </r>
        <r>
          <rPr>
            <sz val="8"/>
            <rFont val="Tahoma"/>
            <charset val="134"/>
          </rPr>
          <t xml:space="preserve">
พิจารณาจากข้อมูลลูกรังที่แหล่ง ชีต ค่าวัสดุที่แหล่ง</t>
        </r>
      </text>
    </comment>
    <comment ref="D22" authorId="0" shapeId="0" xr:uid="{00000000-0006-0000-0000-000002000000}">
      <text>
        <r>
          <rPr>
            <b/>
            <sz val="8"/>
            <rFont val="Tahoma"/>
            <charset val="134"/>
          </rPr>
          <t>t.tharatep:</t>
        </r>
        <r>
          <rPr>
            <sz val="8"/>
            <rFont val="Tahoma"/>
            <charset val="134"/>
          </rPr>
          <t xml:space="preserve">
พิจารณาจากข้อมูลดินที่แหล่ง ชีต ค่าวัสดุที่แหล่ง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t.tharatep</author>
  </authors>
  <commentList>
    <comment ref="G8" authorId="0" shapeId="0" xr:uid="{00000000-0006-0000-0100-000001000000}">
      <text>
        <r>
          <rPr>
            <b/>
            <sz val="8"/>
            <rFont val="Tahoma"/>
            <charset val="134"/>
          </rPr>
          <t>t.tharatep:</t>
        </r>
        <r>
          <rPr>
            <sz val="8"/>
            <rFont val="Tahoma"/>
            <charset val="134"/>
          </rPr>
          <t xml:space="preserve">
พิจารณาจากข้อมูลลูกรังที่แหล่ง ชีต ค่าวัสดุที่แหล่ง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t.tharatep</author>
  </authors>
  <commentList>
    <comment ref="G12" authorId="0" shapeId="0" xr:uid="{00000000-0006-0000-2400-000001000000}">
      <text>
        <r>
          <rPr>
            <b/>
            <sz val="8"/>
            <rFont val="Tahoma"/>
            <charset val="134"/>
          </rPr>
          <t>t.tharatep:</t>
        </r>
        <r>
          <rPr>
            <sz val="8"/>
            <rFont val="Tahoma"/>
            <charset val="134"/>
          </rPr>
          <t xml:space="preserve">
พิจารณาจากข้อมูลลูกรังที่แหล่ง ชีต ค่าวัสดุที่แหล่ง</t>
        </r>
      </text>
    </comment>
  </commentList>
</comments>
</file>

<file path=xl/sharedStrings.xml><?xml version="1.0" encoding="utf-8"?>
<sst xmlns="http://schemas.openxmlformats.org/spreadsheetml/2006/main" count="4489" uniqueCount="1098">
  <si>
    <t>ตัวแปรค่าขนส่ง</t>
  </si>
  <si>
    <t>กรอกข้อมูลวัสดุ</t>
  </si>
  <si>
    <t>ระยะขนส่ง</t>
  </si>
  <si>
    <t>รถบรรทุก  6  ล้อ</t>
  </si>
  <si>
    <t>รถบรรทุก  10  ล้อ</t>
  </si>
  <si>
    <t>รถบรรทุก  10  ล้อ +  ลากพ่วง</t>
  </si>
  <si>
    <t>รวมระยะทาง</t>
  </si>
  <si>
    <t>ตัวแปร</t>
  </si>
  <si>
    <t>ค่าขนส่ง</t>
  </si>
  <si>
    <t>รวมค่าขนส่ง</t>
  </si>
  <si>
    <t>ชนิดของวัสดุ</t>
  </si>
  <si>
    <t>หน่วย</t>
  </si>
  <si>
    <t xml:space="preserve">ค่าวัสดุ </t>
  </si>
  <si>
    <r>
      <rPr>
        <b/>
        <sz val="14"/>
        <rFont val="TH SarabunPSK"/>
        <charset val="134"/>
      </rPr>
      <t xml:space="preserve">ระยะทางขนส่ง </t>
    </r>
    <r>
      <rPr>
        <sz val="14"/>
        <rFont val="TH SarabunPSK"/>
        <charset val="134"/>
      </rPr>
      <t>(กม.)</t>
    </r>
  </si>
  <si>
    <t xml:space="preserve">รวมระยะทาง </t>
  </si>
  <si>
    <t>ขนส่งด้วยรถบรรทุก</t>
  </si>
  <si>
    <t>แหล่งวัสดุ</t>
  </si>
  <si>
    <t>L</t>
  </si>
  <si>
    <t>ผิวทางลาดยาง/คอนกรีต</t>
  </si>
  <si>
    <t>ผิวทางลูกรัง</t>
  </si>
  <si>
    <t>D</t>
  </si>
  <si>
    <t>จาก</t>
  </si>
  <si>
    <t>เท่ากับ</t>
  </si>
  <si>
    <t>(กม.)</t>
  </si>
  <si>
    <t>ที่ราบ</t>
  </si>
  <si>
    <t>ลูกเนิน</t>
  </si>
  <si>
    <t>ภูเขา</t>
  </si>
  <si>
    <t>F=D/L</t>
  </si>
  <si>
    <t>ตาราง</t>
  </si>
  <si>
    <t>ตัวแปรคูณ</t>
  </si>
  <si>
    <t>รถ 6 ล้อ</t>
  </si>
  <si>
    <t>(บาท)</t>
  </si>
  <si>
    <t>ตัวแปร &gt;&gt;</t>
  </si>
  <si>
    <t>ด้วยค่าขนส่ง</t>
  </si>
  <si>
    <t>รถ 10 ล้อ</t>
  </si>
  <si>
    <t>เหล็กเส้นกลม  RB 6</t>
  </si>
  <si>
    <t>บ./ตัน</t>
  </si>
  <si>
    <t>รถ 10 ล้อ + ลากพ่วง</t>
  </si>
  <si>
    <t>ราคาพาณิชย์จังหวัดหนองคาย</t>
  </si>
  <si>
    <t>เหล็กเส้นกลม  RB 9</t>
  </si>
  <si>
    <t>เหล็กเส้นกลม  RB 12</t>
  </si>
  <si>
    <t>เหล็กเส้นกลม  RB 15</t>
  </si>
  <si>
    <t>เหล็กเส้นกลม  RB 19</t>
  </si>
  <si>
    <t>ราคาพาณิชย์จังหวัดอุดรธานี</t>
  </si>
  <si>
    <t>เหล็กเส้นข้ออ้อย  DB 12</t>
  </si>
  <si>
    <t>เหล็กเส้นข้ออ้อย  DB 16</t>
  </si>
  <si>
    <t>เหล็ก Wire Mesh Dia 4 มม. @ 0.20 x 0.20 ม.</t>
  </si>
  <si>
    <t>บ./ตร.ม.</t>
  </si>
  <si>
    <t xml:space="preserve"> ==&gt;&gt;</t>
  </si>
  <si>
    <t>ราคาโกบอลเฮาส์หนองคาย(รวมค่าขนส่ง)</t>
  </si>
  <si>
    <t>ลวดผูกเหล็ก</t>
  </si>
  <si>
    <t>บ./กก.</t>
  </si>
  <si>
    <t>ราคาพานิชย์จังหวัดอุดรธานี(รวมค่าขนส่ง)</t>
  </si>
  <si>
    <t>ปูนซีเมนต์ปอร์ตแลนด์</t>
  </si>
  <si>
    <t>หินผสมคอนกรีต</t>
  </si>
  <si>
    <t>บ./ลบ.ม.</t>
  </si>
  <si>
    <t>จากอ.นากลาง จ.หนองบัวลำภู</t>
  </si>
  <si>
    <t>หินคลุก</t>
  </si>
  <si>
    <t>ทรายหยาบ</t>
  </si>
  <si>
    <t>บ.อุดรสหโชค จำกัด อ.โพนพิสัย หนองคาย</t>
  </si>
  <si>
    <t>ลูกรัง</t>
  </si>
  <si>
    <t>ในเขต อบต.เชียงดา อ.สร้างคอม จ.อุดรธานี</t>
  </si>
  <si>
    <t>ทรายถม</t>
  </si>
  <si>
    <t>ดินถม</t>
  </si>
  <si>
    <t>ท่อกลมขนาด  ø  0.30 ม. มอก.ชั้น 3</t>
  </si>
  <si>
    <t>ท่อน</t>
  </si>
  <si>
    <t>ท่อกลมขนาด  ø  0.40 ม. มอก.ชั้น 3</t>
  </si>
  <si>
    <t>ท่อกลมขนาด  ø  0.60 ม. มอก.ชั้น 3</t>
  </si>
  <si>
    <t>ท่อกลมขนาด  ø  0.80 ม. มอก.ชั้น 3</t>
  </si>
  <si>
    <t>ท่อกลมขนาด  ø  1.00 ม. มอก.ชั้น 3</t>
  </si>
  <si>
    <t>ท่อกลมขนาด  ø  1.20 ม. มอก.ชั้น 3</t>
  </si>
  <si>
    <t>ท่อกลมขนาด  ø  1.50 ม. มอก.ชั้น 3</t>
  </si>
  <si>
    <t>ไม้กระบากหรือไม้ยางหรือเทียบเท่า ขนาด 1" x 6"</t>
  </si>
  <si>
    <t>ลบ.ฟ.</t>
  </si>
  <si>
    <t xml:space="preserve">ไม้อัดยาง หนา 4 มม.      </t>
  </si>
  <si>
    <t>แผ่น</t>
  </si>
  <si>
    <t xml:space="preserve">ไม้คร่าว   1 1/2" x 3"      </t>
  </si>
  <si>
    <t>ไม้ค้ำยัน  1 1/2" x 3" x 0.30 ม.</t>
  </si>
  <si>
    <t>ต้น</t>
  </si>
  <si>
    <t>ไม้ค้ำยัน  1 1/2" x 3" x 0.50 ม.</t>
  </si>
  <si>
    <t>ตะปู</t>
  </si>
  <si>
    <t>กก.</t>
  </si>
  <si>
    <t>ราคาแผ่นโฟมหนา1/2นิ้ว</t>
  </si>
  <si>
    <t>ตร.ม.</t>
  </si>
  <si>
    <t>โฮมโปร</t>
  </si>
  <si>
    <t>ท่อ พีวีซี ชนิดปลายธรรมดา ชั้น 13.5 ขนาด 1/2 นิ้ว</t>
  </si>
  <si>
    <t xml:space="preserve">แบบฟอร์มบันทึกแสดงเหตุผลรายละเอียดของการสืบและการกำหนดราคาหรือแหล่งวัสดุก่อสร้าง   </t>
  </si>
  <si>
    <t>หน้าที่ 1/1</t>
  </si>
  <si>
    <t>โครงการ</t>
  </si>
  <si>
    <t>ตารางเมตร</t>
  </si>
  <si>
    <t>หมู่ที่ 1 บ้านเชียงดา</t>
  </si>
  <si>
    <t>งานก่อสร้างตามงบประมาณรายจ่ายฌฌ.ฯศธศฒประจำปีงบประมาณ 2566</t>
  </si>
  <si>
    <t>หน่วยงาน</t>
  </si>
  <si>
    <t xml:space="preserve">องค์การบริหารส่วนตำบลเชียงดา   อำเภอสร้างคอม  จังหวัดอุดรธานี </t>
  </si>
  <si>
    <t>20 เดือนมีนาคม พ.ศ.2567</t>
  </si>
  <si>
    <t>ลำดับที่</t>
  </si>
  <si>
    <t>รายการ</t>
  </si>
  <si>
    <t>บริษัท/หจก./ร้าน</t>
  </si>
  <si>
    <t>ราคาพาณิชย์จังหวัด</t>
  </si>
  <si>
    <t>วันที่สืบราคา</t>
  </si>
  <si>
    <t>หมายเหตุ</t>
  </si>
  <si>
    <t>ภายในเขต อบต.</t>
  </si>
  <si>
    <t xml:space="preserve"> -</t>
  </si>
  <si>
    <t>ราคาลูกรัง</t>
  </si>
  <si>
    <t>-</t>
  </si>
  <si>
    <t>16 กค.67</t>
  </si>
  <si>
    <t>ร้านภราดรเคหะภัณฑ์ อ.โพนพิสัย หนองคาย</t>
  </si>
  <si>
    <t>ค่าวัสดุ</t>
  </si>
  <si>
    <t>ค่าขนส่ง(20กม.)</t>
  </si>
  <si>
    <t>รวม</t>
  </si>
  <si>
    <t>ค่าขนส่ง(53กม.)</t>
  </si>
  <si>
    <t>ราคาทรายหยาบ</t>
  </si>
  <si>
    <t>ค่าขนส่ง(40กม.)</t>
  </si>
  <si>
    <t>ราคาคอนกรีตสำเร็จรูปกำลังอัด 180 กิโลกรัมต่อตารางเซนติเมตร</t>
  </si>
  <si>
    <t>ราคาคอนกรีตสำเร็จรูปกำลังอัด 240 กิโลกรัมต่อตารางเซนติเมตร</t>
  </si>
  <si>
    <t>โกบอลเฮาส์หนองคาย</t>
  </si>
  <si>
    <t>ไทวัสดุอุดรธานี</t>
  </si>
  <si>
    <t>ราคาเหล็ก Wire Mesh ขนาดเส้นผ่านศูนย์กลาง 0.40 มิลลิเมตร</t>
  </si>
  <si>
    <t>บ./ตารางเมตร</t>
  </si>
  <si>
    <t>ขนาดตะแกรง 0.20 x 0.20 เมตร</t>
  </si>
  <si>
    <t>ราคาแผ่นโฟมหนา1/2นิ้ว ขนาด 0.60 x 1.20 เมตร</t>
  </si>
  <si>
    <t>LAZADA</t>
  </si>
  <si>
    <t>TO-MATS</t>
  </si>
  <si>
    <t>ราคาเหล็กแบนขนาด กว้าง 50 มม. หนา 9 มม.</t>
  </si>
  <si>
    <t>บ./เส้น</t>
  </si>
  <si>
    <t xml:space="preserve"> ( นน. 21.18 กก./ท่อน )</t>
  </si>
  <si>
    <t>อุดรธานี</t>
  </si>
  <si>
    <t>หนองคาย</t>
  </si>
  <si>
    <t>ราคาเหล็กฉาก ขนาด 50 X 50 มม. หนา 6 มม.</t>
  </si>
  <si>
    <t xml:space="preserve"> ( นน. 26.840 กก./ท่อน )</t>
  </si>
  <si>
    <t>หน้าที่ 2/2</t>
  </si>
  <si>
    <t>โกบอลเฮาส์นองคาย</t>
  </si>
  <si>
    <t>ราคาท่อเหล็กอาบสังกะสี+ข้อต่อยาว 6 ม. dia 3"</t>
  </si>
  <si>
    <t>บ./ท่อน</t>
  </si>
  <si>
    <t>1588.79</t>
  </si>
  <si>
    <t>ราคาท่อเหล็กอาบสังกะสี+ข้อต่อยาว 6 ม. dia 2 1/2"</t>
  </si>
  <si>
    <t>157.01</t>
  </si>
  <si>
    <t>ราคาท่อเหล็กอาบสังกะสี+ข้อต่อยาว 6 ม. dia 2"</t>
  </si>
  <si>
    <t>ราคาท่อเหล็กอาบสังกะสี+ข้อต่อยาว 6 ม. dia 1 1/4"</t>
  </si>
  <si>
    <t>ราคาเหล็กฉาก ขนาด 50 x 50 x 6 มม.</t>
  </si>
  <si>
    <t>ราคาท่อเหล็กอาบสังกะสี+ยาว 6 ม. dia 3/4"</t>
  </si>
  <si>
    <t xml:space="preserve">ราคาแผ่นเหล็ก ขนาดกว้าง 1.20 เมตร ยาว 2.40 เมตร </t>
  </si>
  <si>
    <t>หนา 1.2 มม.</t>
  </si>
  <si>
    <t>ราคาท่อเหล็กกลมขนาด DIA  2 นิ้ว หนา 1.20 มม.</t>
  </si>
  <si>
    <t xml:space="preserve">ราคาเหล็กกล่องขนาด 1"x1" หนา 1.20 มม. </t>
  </si>
  <si>
    <t>ราคาน้ำยาผสมปูนฉาบ</t>
  </si>
  <si>
    <t>บ/ลิตร</t>
  </si>
  <si>
    <t>20 มีค. 2567</t>
  </si>
  <si>
    <t>ราคาปูนกาวซีเมนต์</t>
  </si>
  <si>
    <t>ราคาปูนยาแนว</t>
  </si>
  <si>
    <t>สีโป้ว</t>
  </si>
  <si>
    <t>บ./กล.</t>
  </si>
  <si>
    <t>ราคาแผ่นเหล็ก ขนาดกว้าง 1.20 เมตร ยาว 2.40 เมตร หนา 1.2 มม.</t>
  </si>
  <si>
    <t>เรียน  นายกองค์การบริหารส่วนตำบลเชียงดา</t>
  </si>
  <si>
    <t>ข้าพเจ้าในฐานะคณะกรรมการคณะกรรมการกำหนดราคากลางตาม</t>
  </si>
  <si>
    <t xml:space="preserve">  ได้สืบราคาเมื่อวันที่</t>
  </si>
  <si>
    <t>3 เดือนกรกฎาคม พ.ศ.2567</t>
  </si>
  <si>
    <t>ข้าพเจ้าในฐานะคณะกรรมการกำหนดราคากลาง</t>
  </si>
  <si>
    <t xml:space="preserve"> - ตามคำสั่งองค์การบริหารส่วนตำบลเลขที่  100/2567 ลงวันที่ 29 เดือนกุมภาพันธ์ พ.ศ. 2567 เรื่อง  แต่งตั้งคณะกรรมการกำหนดราคากลาง </t>
  </si>
  <si>
    <t>ลงวันที่ 29 เดือนกุมภาพันธ์ พ.ศ. 2567</t>
  </si>
  <si>
    <t xml:space="preserve">ได้สืบราคาเมื่อวันที่ </t>
  </si>
  <si>
    <t xml:space="preserve">        ลงชื่อ……......…………………………ประธานกรรมการฯ</t>
  </si>
  <si>
    <t xml:space="preserve">                (นายเมธา   รอดขันเมือง)</t>
  </si>
  <si>
    <t xml:space="preserve">                   ผู้อำนวยการกองช่าง</t>
  </si>
  <si>
    <t>บัญชีรายการวัสดุและค่าแรง</t>
  </si>
  <si>
    <t xml:space="preserve">โครงการ    </t>
  </si>
  <si>
    <t>ย้ายหอถังประปาจากศาลาประชาคมไปวัดสุทธาราม แบบหอถังสูง ขนาด 10 ลบ.ม. ขนาด 3.60x3.60 เมตร สูง 11 เมตร</t>
  </si>
  <si>
    <t>พร้อมเจาะบ่อบาดาล หมู่ที่ 3 บ้านหนองสะหนาย ตำบลหนองไผ่ อำเภอหนองหาน จังหวัดอุดรธานี</t>
  </si>
  <si>
    <r>
      <rPr>
        <b/>
        <sz val="14"/>
        <rFont val="TH SarabunPSK"/>
        <charset val="134"/>
      </rPr>
      <t>สถานที่ก่อสร้าง</t>
    </r>
    <r>
      <rPr>
        <sz val="14"/>
        <rFont val="TH SarabunPSK"/>
        <charset val="134"/>
      </rPr>
      <t xml:space="preserve">       </t>
    </r>
  </si>
  <si>
    <t>บ้านหนองสะหนาย หมู่ที่ 3</t>
  </si>
  <si>
    <r>
      <rPr>
        <b/>
        <sz val="14"/>
        <rFont val="TH SarabunPSK"/>
        <charset val="134"/>
      </rPr>
      <t>เจ้าของโครงการ</t>
    </r>
    <r>
      <rPr>
        <sz val="14"/>
        <rFont val="TH SarabunPSK"/>
        <charset val="134"/>
      </rPr>
      <t xml:space="preserve">      </t>
    </r>
  </si>
  <si>
    <t>เทศบาลตำบลหนองไผ่  ตำบลหนองไผ่  อำเภอหนองหาน  จังหวัดอุดรธานี</t>
  </si>
  <si>
    <t>ประมาณการ</t>
  </si>
  <si>
    <t>วันที่ 15  เดือน  มิถุนายน  พ.ศ. 2560</t>
  </si>
  <si>
    <t>ลำดับ</t>
  </si>
  <si>
    <t>ปริมาณ</t>
  </si>
  <si>
    <t>ราคาวัสดุ</t>
  </si>
  <si>
    <t>ค่าแรง</t>
  </si>
  <si>
    <t>รวมค่าวัสดุ</t>
  </si>
  <si>
    <t>จำนวน</t>
  </si>
  <si>
    <t>ราคา/หน่วย</t>
  </si>
  <si>
    <t>เป็นเงิน</t>
  </si>
  <si>
    <t>งานโครงสร้างวิศวกรรม</t>
  </si>
  <si>
    <t>1.1 งานขุดดินฐานรากและถมคืน</t>
  </si>
  <si>
    <t>ลบ.ม.</t>
  </si>
  <si>
    <t>1.2 ทรายหยาบรองพื้น</t>
  </si>
  <si>
    <t>หิน</t>
  </si>
  <si>
    <t>1.3 งานคอนกรีตหยาบรองพื้น</t>
  </si>
  <si>
    <t>1.4 งานคอนกรีตโครงสร้าง fc' 240 ksc.</t>
  </si>
  <si>
    <t>1.5 งานเหล็กเสริมคอนกรีต</t>
  </si>
  <si>
    <t xml:space="preserve"> - เหล็กเส้นกลมผิวข้ออ้อย -DB 12 mm.</t>
  </si>
  <si>
    <t>ตัน</t>
  </si>
  <si>
    <t xml:space="preserve"> - เหล็กเส้นกลมผิวเรียบ -RB 6 mm.</t>
  </si>
  <si>
    <t xml:space="preserve"> - ลวดผูกเหล็ก</t>
  </si>
  <si>
    <t xml:space="preserve"> - สลักเกลียว dia.3/4'' ยาว 0.50 m (ครบชุด)</t>
  </si>
  <si>
    <t>ตัว</t>
  </si>
  <si>
    <t xml:space="preserve"> - แผ่นเพส 250x250x15 mm</t>
  </si>
  <si>
    <t xml:space="preserve"> - แผ่นเหล็กเสริมแรง หนา 9 mm</t>
  </si>
  <si>
    <t>1.6 งานไม้แบบหล่อคอนกรีต</t>
  </si>
  <si>
    <t xml:space="preserve"> - ตะปูตอกไม้แบบ</t>
  </si>
  <si>
    <t>1.7 งานพื้นรองรับชั้นบน</t>
  </si>
  <si>
    <t xml:space="preserve"> - ไม้เนื้อแข็ง 2''x4''x3.6 m</t>
  </si>
  <si>
    <t xml:space="preserve"> - ไม้เนื้อแข็ง 2''x4''x0.80 m</t>
  </si>
  <si>
    <t xml:space="preserve"> - น็อตยึดไม้พื้น ขนาด 3/8''</t>
  </si>
  <si>
    <t>งานสถาปัตยกรรม</t>
  </si>
  <si>
    <t xml:space="preserve"> - งานสีน้ำมัน  (สีจริง 2 เที่ยว) </t>
  </si>
  <si>
    <t>งานระบบไฟฟ้า</t>
  </si>
  <si>
    <t>3.1 งานติดตั้งระบบไฟฟ้า</t>
  </si>
  <si>
    <t>Ls.</t>
  </si>
  <si>
    <t>3.2 สายทองแดง เบอร์ 16</t>
  </si>
  <si>
    <t>ม้วน</t>
  </si>
  <si>
    <t>3.3 แลคพร้อมอุปกรณ์การติดตั้ง</t>
  </si>
  <si>
    <t>ชุด</t>
  </si>
  <si>
    <t>3.5 ท่อร้อยสายไฟ 1/2''</t>
  </si>
  <si>
    <t>รวมยอดยกไป</t>
  </si>
  <si>
    <r>
      <rPr>
        <b/>
        <sz val="14"/>
        <rFont val="TH SarabunPSK"/>
        <charset val="134"/>
      </rPr>
      <t>ประมาณการ</t>
    </r>
    <r>
      <rPr>
        <sz val="14"/>
        <rFont val="TH SarabunPSK"/>
        <charset val="134"/>
      </rPr>
      <t xml:space="preserve">                             </t>
    </r>
  </si>
  <si>
    <t>รวมยอดยกมา</t>
  </si>
  <si>
    <t>งานระบบท่อประปา</t>
  </si>
  <si>
    <t>4.1 งานประสานท่อ</t>
  </si>
  <si>
    <t xml:space="preserve"> - ท่อ PVC ขนาด 2'' ชั้น 8.5 พร้อมข้อต่อ</t>
  </si>
  <si>
    <t xml:space="preserve"> - ข้องอ 90 ขนาด 2'' </t>
  </si>
  <si>
    <t xml:space="preserve"> - ข้องอ 45 ขนาด 2'' </t>
  </si>
  <si>
    <t xml:space="preserve"> - สามทาง ขนาด 2'' </t>
  </si>
  <si>
    <t xml:space="preserve"> - ข้อต่อตรงเกลียวใน ขนาด 2'' </t>
  </si>
  <si>
    <t xml:space="preserve"> - วาว์ทองเหลือง ขนาด 2''</t>
  </si>
  <si>
    <t xml:space="preserve"> - น้ำยาประสานท่อ PVC ขนาด 1,000 กรัม</t>
  </si>
  <si>
    <t>กป.</t>
  </si>
  <si>
    <t>งานรื้อถอนพร้อมติดตั้ง</t>
  </si>
  <si>
    <t xml:space="preserve"> - งานรื้อถอน</t>
  </si>
  <si>
    <t xml:space="preserve"> - ค่าเครนย้ายหอถังพร้อมขนส่ง</t>
  </si>
  <si>
    <t xml:space="preserve"> - ค่าประกอบติดตั้งหอถัง</t>
  </si>
  <si>
    <t xml:space="preserve"> - เครื่องสูบน้ำแบบบาดาล ซับเมิสซิเบิ้ล </t>
  </si>
  <si>
    <t xml:space="preserve">   ขนาด 1 แรงม้า 1 เฟส (1.1 kW) พร้อมอุปกรณ์</t>
  </si>
  <si>
    <t>เครื่อง</t>
  </si>
  <si>
    <t xml:space="preserve"> เจาะบ่อบาดาล</t>
  </si>
  <si>
    <t xml:space="preserve"> - งานเจาะบ่อบาดาล ท่อ PVC ชั้น 13.5 มอก 17.2532 </t>
  </si>
  <si>
    <t xml:space="preserve">   ค่าเฉลี่ยความลึกตั้งแต่ 0.5-42.5 เมตร</t>
  </si>
  <si>
    <t>เมตร</t>
  </si>
  <si>
    <t>รวมราคาวัสดุและค่าแรงงาน</t>
  </si>
  <si>
    <t>งานรื้อถอนและปรับบริเวณก่อสร้าง</t>
  </si>
  <si>
    <t xml:space="preserve"> - งานรื้อถอนต้นไม้ พร้อมขนไป</t>
  </si>
  <si>
    <t xml:space="preserve">         ลงชื่อ……………………………… ผู้ประมาณราคา</t>
  </si>
  <si>
    <t xml:space="preserve">             (นายจักรินทร์  นรินทร์)  นายช่างโยธาชำนาญการ</t>
  </si>
  <si>
    <t xml:space="preserve">                            </t>
  </si>
  <si>
    <t xml:space="preserve">         ลงชื่อ ……….……………………. ผู้ตรวจสอบ</t>
  </si>
  <si>
    <t xml:space="preserve">         ลงชื่อ……………………………… ผู้ตรวจสอบ</t>
  </si>
  <si>
    <t xml:space="preserve">             (นายเมธา   รอดขันเมือง)   ผู้อำนวยการกองช่าง    </t>
  </si>
  <si>
    <t xml:space="preserve">               (นายสรอรรถ      คุโน)  รองปลัดเทศบาลตำบลหนองไผ่        </t>
  </si>
  <si>
    <t xml:space="preserve">                </t>
  </si>
  <si>
    <t xml:space="preserve">         ลงชื่อ ……….……………………. ผู้เห็นชอบ</t>
  </si>
  <si>
    <t xml:space="preserve">          ลงชื่อ……………………………… ผู้อนุมัติ</t>
  </si>
  <si>
    <t xml:space="preserve">            (นายประกิจ   งามสันเทียะ)  ปลัดเทศบาลตำบลหนองไผ่     </t>
  </si>
  <si>
    <t xml:space="preserve">            (นายล้วน       นวลสุวรรณ)  นายกเทศมนตรีตำบลหนองไผ่      </t>
  </si>
  <si>
    <t> ข้อต่อตรงเหล็ก ศก. 1/2 นิ้ว</t>
  </si>
  <si>
    <t>อัน</t>
  </si>
  <si>
    <t>11.68  </t>
  </si>
  <si>
    <t>- </t>
  </si>
  <si>
    <t>11.68 </t>
  </si>
  <si>
    <t> ข้อต่อตรงเหล็ก ศก. 3/4 นิ้ว</t>
  </si>
  <si>
    <t>15.89  </t>
  </si>
  <si>
    <t>15.89 </t>
  </si>
  <si>
    <t> ข้อต่อตรงเหล็ก ศก. 1 นิ้ว</t>
  </si>
  <si>
    <t>27.57  </t>
  </si>
  <si>
    <t>27.57 </t>
  </si>
  <si>
    <t> ข้อต่องอเหล็ก 90 องศา ศก. 1/2 นิ้ว</t>
  </si>
  <si>
    <t>13.09  </t>
  </si>
  <si>
    <t>13.09 </t>
  </si>
  <si>
    <t> ข้อต่องอเหล็ก 90 องศา ศก. 3/4 นิ้ว</t>
  </si>
  <si>
    <t>19.63  </t>
  </si>
  <si>
    <t>19.63 </t>
  </si>
  <si>
    <t> ข้อต่องอเหล็ก 90 องศา ศก. 1 นิ้ว</t>
  </si>
  <si>
    <t>33.18  </t>
  </si>
  <si>
    <t>33.18 </t>
  </si>
  <si>
    <t> สามทาง 90 องศาเหล็กเคลือบสังกะสี ศก. 1/2 นิ้ว</t>
  </si>
  <si>
    <t> สามทาง 90 องศาเหล็กเคลือบสังกะสี ศก. 3/4 นิ้ว</t>
  </si>
  <si>
    <t> สามทาง 90 องศาเหล็กเคลือบสังกะสี ศก. 1 นิ้ว</t>
  </si>
  <si>
    <t>41.59  </t>
  </si>
  <si>
    <t>41.59 </t>
  </si>
  <si>
    <t> ท่อ พีวีซี แข็ง ท่อประปา ชนิดปลายธรรมดา ชั้น 13.5 ยาว 4 เมตร เส้นผ่านศูนย์กลาง 1/2" ตราท่อน้ำไทย</t>
  </si>
  <si>
    <t>49.53  </t>
  </si>
  <si>
    <t>49.53 </t>
  </si>
  <si>
    <t> ท่อ พีวีซี แข็ง ท่อประปา ชนิดปลายธรรมดา ชั้น 13.5 ยาว 4 เมตร เส้นผ่านศูนย์กลาง 3/4" ตราท่อน้ำไทย</t>
  </si>
  <si>
    <t>58.88  </t>
  </si>
  <si>
    <t>58.88 </t>
  </si>
  <si>
    <t> ท่อ พีวีซี แข็ง ท่อประปา ชนิดปลายธรรมดา ชั้น 13.5 ยาว 4 เมตร เส้นผ่านศูนย์กลาง 1" ตราท่อน้ำไทย</t>
  </si>
  <si>
    <t>70.09  </t>
  </si>
  <si>
    <t>70.09 </t>
  </si>
  <si>
    <t> ข้อต่อท่อ พีวีซี ตรง สำหรับใช้กับท่อรับแรงดัน เส้นผ่านศูนย์กลาง 1/2" ตราท่อน้ำไทย</t>
  </si>
  <si>
    <t>4.67  </t>
  </si>
  <si>
    <t>4.67 </t>
  </si>
  <si>
    <t> ข้อต่อท่อ พีวีซี ตรง สำหรับใช้กับท่อรับแรงดัน เส้นผ่านศูนย์กลาง 3/4" ตราท่อน้ำไทย</t>
  </si>
  <si>
    <t>5.61  </t>
  </si>
  <si>
    <t>5.61 </t>
  </si>
  <si>
    <t> ข้อต่อท่อ พีวีซี ตรง สำหรับใช้กับท่อรับแรงดัน เส้นผ่านศูนย์กลาง 1" ตราท่อน้ำไทย</t>
  </si>
  <si>
    <t>7.48  </t>
  </si>
  <si>
    <t>7.48 </t>
  </si>
  <si>
    <t> ข้อต่อท่อ พีวีซี ข้องอ 90 องศา สำหรับใช้กับท่อรับแรงดัน เส้นผ่านศูนย์กลาง 1/2" ตราท่อน้ำไทย</t>
  </si>
  <si>
    <t>5.14  </t>
  </si>
  <si>
    <t>5.14 </t>
  </si>
  <si>
    <t> ข้อต่อท่อ พีวีซี ข้องอ 90 องศา สำหรับใช้กับท่อรับแรงดัน เส้นผ่านศูนย์กลาง 3/4" ตราท่อน้ำไทย</t>
  </si>
  <si>
    <t>6.08  </t>
  </si>
  <si>
    <t>6.08 </t>
  </si>
  <si>
    <t> ข้อต่อท่อ พีวีซี ข้องอ 90 องศา สำหรับใช้กับท่อรับแรงดัน เส้นผ่านศูนย์กลาง 1" ตราท่อน้ำไทย</t>
  </si>
  <si>
    <t>9.35  </t>
  </si>
  <si>
    <t>9.35 </t>
  </si>
  <si>
    <t xml:space="preserve">                                                    แบบบัญชีแสดง รายการ ปริมาณงาน และราคา                                                      ปร.4</t>
  </si>
  <si>
    <r>
      <rPr>
        <b/>
        <sz val="12"/>
        <rFont val="Angsana New"/>
        <charset val="134"/>
      </rPr>
      <t xml:space="preserve">ชื่อโครงการ  </t>
    </r>
    <r>
      <rPr>
        <sz val="12"/>
        <rFont val="Angsana New"/>
        <charset val="134"/>
      </rPr>
      <t>ก่อสร้างหอถังน้ำประปาเชื่อมเข้ากับระบบประปาหมู่บ้านบริเวณบ้านนายบัวใหล  โฮมชัย</t>
    </r>
  </si>
  <si>
    <r>
      <rPr>
        <b/>
        <sz val="12"/>
        <rFont val="Angsana New"/>
        <charset val="134"/>
      </rPr>
      <t>สถานที่ดำเนินการ</t>
    </r>
    <r>
      <rPr>
        <sz val="12"/>
        <rFont val="Angsana New"/>
        <charset val="134"/>
      </rPr>
      <t xml:space="preserve"> บ้านโคกคอย หมู่ที่ 6   ตำบลเชียงดา   อำเภอสร้างคอม    จังหวัดอุดรธานี</t>
    </r>
  </si>
  <si>
    <r>
      <rPr>
        <b/>
        <sz val="12"/>
        <rFont val="Angsana New"/>
        <charset val="134"/>
      </rPr>
      <t>ปริมาณงาน</t>
    </r>
    <r>
      <rPr>
        <sz val="12"/>
        <rFont val="Angsana New"/>
        <charset val="134"/>
      </rPr>
      <t xml:space="preserve"> ก่อสร้างหอถังสูงขนาดความจุ 10,000  ลบ.ม.</t>
    </r>
  </si>
  <si>
    <r>
      <rPr>
        <b/>
        <sz val="12"/>
        <rFont val="Angsana New"/>
        <charset val="134"/>
      </rPr>
      <t xml:space="preserve">เจ้าของงาน               -               </t>
    </r>
    <r>
      <rPr>
        <sz val="12"/>
        <rFont val="Angsana New"/>
        <charset val="134"/>
      </rPr>
      <t xml:space="preserve">   </t>
    </r>
    <r>
      <rPr>
        <b/>
        <sz val="12"/>
        <rFont val="Angsana New"/>
        <charset val="134"/>
      </rPr>
      <t>แบบเลขที่</t>
    </r>
    <r>
      <rPr>
        <sz val="12"/>
        <rFont val="Angsana New"/>
        <charset val="134"/>
      </rPr>
      <t xml:space="preserve">    -/2564    </t>
    </r>
    <r>
      <rPr>
        <b/>
        <sz val="12"/>
        <rFont val="Angsana New"/>
        <charset val="134"/>
      </rPr>
      <t xml:space="preserve"> แผ่นที่  </t>
    </r>
    <r>
      <rPr>
        <sz val="12"/>
        <rFont val="Angsana New"/>
        <charset val="134"/>
      </rPr>
      <t xml:space="preserve">  1/5 </t>
    </r>
    <r>
      <rPr>
        <b/>
        <sz val="12"/>
        <rFont val="Angsana New"/>
        <charset val="134"/>
      </rPr>
      <t xml:space="preserve"> ประมาณราคาเมื่อวันที่</t>
    </r>
    <r>
      <rPr>
        <sz val="12"/>
        <rFont val="Angsana New"/>
        <charset val="134"/>
      </rPr>
      <t xml:space="preserve">  6</t>
    </r>
    <r>
      <rPr>
        <b/>
        <sz val="12"/>
        <rFont val="Angsana New"/>
        <charset val="134"/>
      </rPr>
      <t xml:space="preserve"> เดือน</t>
    </r>
    <r>
      <rPr>
        <sz val="12"/>
        <rFont val="Angsana New"/>
        <charset val="134"/>
      </rPr>
      <t xml:space="preserve">  กันยายน   2564</t>
    </r>
  </si>
  <si>
    <t>ที่</t>
  </si>
  <si>
    <t xml:space="preserve">                    รายการ</t>
  </si>
  <si>
    <t xml:space="preserve">  จำนวน</t>
  </si>
  <si>
    <t xml:space="preserve">  หน่วย</t>
  </si>
  <si>
    <t xml:space="preserve">                     ค่าวัสดุ</t>
  </si>
  <si>
    <t xml:space="preserve">         ค่าแรงงาน</t>
  </si>
  <si>
    <t xml:space="preserve"> รวมค่าวัสดุ</t>
  </si>
  <si>
    <t xml:space="preserve">ราคา/หน่วย </t>
  </si>
  <si>
    <t xml:space="preserve">  จำนวนเงิน</t>
  </si>
  <si>
    <t>จำนวนเงิน</t>
  </si>
  <si>
    <t>และค่าแรงงาน</t>
  </si>
  <si>
    <t>งานทรายใต้ฐานรากและรองพื้น</t>
  </si>
  <si>
    <t>งานคอนกรีตหยาบ 1:3:5</t>
  </si>
  <si>
    <t>งานคอนกรีตโครงสร้าง 1:2:4</t>
  </si>
  <si>
    <t>งานไม้แบบ</t>
  </si>
  <si>
    <t>ไม้แบบหนา 1 "</t>
  </si>
  <si>
    <t xml:space="preserve">ตะปูตอกไม้แบบ </t>
  </si>
  <si>
    <t>งานเหล็กเสริม</t>
  </si>
  <si>
    <t>RB 6 มม.</t>
  </si>
  <si>
    <t>DB 12 มม.</t>
  </si>
  <si>
    <t>ยกยอดไป</t>
  </si>
  <si>
    <t xml:space="preserve">            ตัวอักษร                              (- สามหมื่นสามพันเก้าร้อยเจ็ดสิบแปดบาทเจ็ดสิบหกสตางค์-)</t>
  </si>
  <si>
    <t xml:space="preserve">   (ลงชื่อ)……………………………………..ผู้สำรวจ/ประมาณการ                                (ลงชื่อ)………...……………...……………..ตรวจ</t>
  </si>
  <si>
    <t xml:space="preserve">                   (นายอนุรักษ์  ไฝทาคำ)                                                                           (นายชาญชัย  สิมทิพลา)</t>
  </si>
  <si>
    <t>ตำแหน่ง    นายช่างโยธาชำนาญงาน                                                              ตำแหน่ง รองปลัด อบต.รักษาราชการแทน  ผู้อำนวยการกองช่าง</t>
  </si>
  <si>
    <t xml:space="preserve">   (ลงชื่อ)……………………...…..………………..เห็นชอบ/เสนอ</t>
  </si>
  <si>
    <t>(ลงชื่อ)……...………………………………..อนุมัติ</t>
  </si>
  <si>
    <t xml:space="preserve">                          (นายนพพล  โพนพุฒ)               </t>
  </si>
  <si>
    <t xml:space="preserve">                (นายมังกร  ก้อนฆ้อง)           </t>
  </si>
  <si>
    <t xml:space="preserve">  ตำแหน่ง  ปลัดองค์การบริหารส่วนตำบลเชียงดา</t>
  </si>
  <si>
    <t>ตำแหน่ง   นายกองค์การบริหารส่วนตำบลเชียงดา</t>
  </si>
  <si>
    <r>
      <rPr>
        <b/>
        <sz val="12"/>
        <rFont val="Angsana New"/>
        <charset val="134"/>
      </rPr>
      <t xml:space="preserve">เจ้าของงาน               -               </t>
    </r>
    <r>
      <rPr>
        <sz val="12"/>
        <rFont val="Angsana New"/>
        <charset val="134"/>
      </rPr>
      <t xml:space="preserve">   </t>
    </r>
    <r>
      <rPr>
        <b/>
        <sz val="12"/>
        <rFont val="Angsana New"/>
        <charset val="134"/>
      </rPr>
      <t>แบบเลขที่</t>
    </r>
    <r>
      <rPr>
        <sz val="12"/>
        <rFont val="Angsana New"/>
        <charset val="134"/>
      </rPr>
      <t xml:space="preserve">    -/2564    </t>
    </r>
    <r>
      <rPr>
        <b/>
        <sz val="12"/>
        <rFont val="Angsana New"/>
        <charset val="134"/>
      </rPr>
      <t xml:space="preserve"> แผ่นที่  </t>
    </r>
    <r>
      <rPr>
        <sz val="12"/>
        <rFont val="Angsana New"/>
        <charset val="134"/>
      </rPr>
      <t xml:space="preserve">  2/5 </t>
    </r>
    <r>
      <rPr>
        <b/>
        <sz val="12"/>
        <rFont val="Angsana New"/>
        <charset val="134"/>
      </rPr>
      <t xml:space="preserve"> ประมาณราคาเมื่อวันที่</t>
    </r>
    <r>
      <rPr>
        <sz val="12"/>
        <rFont val="Angsana New"/>
        <charset val="134"/>
      </rPr>
      <t xml:space="preserve">  6</t>
    </r>
    <r>
      <rPr>
        <b/>
        <sz val="12"/>
        <rFont val="Angsana New"/>
        <charset val="134"/>
      </rPr>
      <t xml:space="preserve"> เดือน</t>
    </r>
    <r>
      <rPr>
        <sz val="12"/>
        <rFont val="Angsana New"/>
        <charset val="134"/>
      </rPr>
      <t xml:space="preserve">  กันยายน   2564</t>
    </r>
  </si>
  <si>
    <t>ยกยอดมา</t>
  </si>
  <si>
    <t>ค่าแรวผูกเหล็ก</t>
  </si>
  <si>
    <t>งานท่อโครงสร้าง</t>
  </si>
  <si>
    <t>ท่อ GS Ø 3/4"</t>
  </si>
  <si>
    <t>เส้น</t>
  </si>
  <si>
    <t>ท่อ GS Ø 1"</t>
  </si>
  <si>
    <t>ท่อ GS Ø 1 1/2"</t>
  </si>
  <si>
    <t>ท่อ GS Ø 2"</t>
  </si>
  <si>
    <t>ท่อ GS Ø 2 1/2"</t>
  </si>
  <si>
    <t xml:space="preserve">            ตัวอักษร                              (-เก้าหมื่นแปดพันสี่ร้อยสิบแปดบาทเจ็ดสิบสามสตางค์-)</t>
  </si>
  <si>
    <r>
      <rPr>
        <b/>
        <sz val="12"/>
        <rFont val="Angsana New"/>
        <charset val="134"/>
      </rPr>
      <t xml:space="preserve">เจ้าของงาน               -               </t>
    </r>
    <r>
      <rPr>
        <sz val="12"/>
        <rFont val="Angsana New"/>
        <charset val="134"/>
      </rPr>
      <t xml:space="preserve">   </t>
    </r>
    <r>
      <rPr>
        <b/>
        <sz val="12"/>
        <rFont val="Angsana New"/>
        <charset val="134"/>
      </rPr>
      <t>แบบเลขที่</t>
    </r>
    <r>
      <rPr>
        <sz val="12"/>
        <rFont val="Angsana New"/>
        <charset val="134"/>
      </rPr>
      <t xml:space="preserve">    -/2564    </t>
    </r>
    <r>
      <rPr>
        <b/>
        <sz val="12"/>
        <rFont val="Angsana New"/>
        <charset val="134"/>
      </rPr>
      <t xml:space="preserve"> แผ่นที่  </t>
    </r>
    <r>
      <rPr>
        <sz val="12"/>
        <rFont val="Angsana New"/>
        <charset val="134"/>
      </rPr>
      <t xml:space="preserve">  3/5 </t>
    </r>
    <r>
      <rPr>
        <b/>
        <sz val="12"/>
        <rFont val="Angsana New"/>
        <charset val="134"/>
      </rPr>
      <t xml:space="preserve"> ประมาณราคาเมื่อวันที่</t>
    </r>
    <r>
      <rPr>
        <sz val="12"/>
        <rFont val="Angsana New"/>
        <charset val="134"/>
      </rPr>
      <t xml:space="preserve">  6</t>
    </r>
    <r>
      <rPr>
        <b/>
        <sz val="12"/>
        <rFont val="Angsana New"/>
        <charset val="134"/>
      </rPr>
      <t xml:space="preserve"> เดือน</t>
    </r>
    <r>
      <rPr>
        <sz val="12"/>
        <rFont val="Angsana New"/>
        <charset val="134"/>
      </rPr>
      <t xml:space="preserve">  กันยายน   2564</t>
    </r>
  </si>
  <si>
    <t>เหล็กฉากขนาด 50 x 50 x 6 มม.</t>
  </si>
  <si>
    <t>เหล็กแผ่นหนา 15  มม.</t>
  </si>
  <si>
    <t>เหล็กแผ่นหนา 9  มม.</t>
  </si>
  <si>
    <t>ไม้เนื้อแข็งขนาด 1 1/2" x 4"x4.00 ม.</t>
  </si>
  <si>
    <t>น๊อตยึดพื้นไม้</t>
  </si>
  <si>
    <t>งานประสานระบบท่อ</t>
  </si>
  <si>
    <t>ประตูน้ำ Ball Valve PVC 2"</t>
  </si>
  <si>
    <t xml:space="preserve">            ตัวอักษร                              (-หนึ่งแสนหนึ่งหมื่นห้าพันเจ็ดร้อยเจ็ดสิบบาทแปดสิบห้าสตางค์-)</t>
  </si>
  <si>
    <r>
      <rPr>
        <b/>
        <sz val="12"/>
        <rFont val="Angsana New"/>
        <charset val="134"/>
      </rPr>
      <t xml:space="preserve">เจ้าของงาน               -               </t>
    </r>
    <r>
      <rPr>
        <sz val="12"/>
        <rFont val="Angsana New"/>
        <charset val="134"/>
      </rPr>
      <t xml:space="preserve">   </t>
    </r>
    <r>
      <rPr>
        <b/>
        <sz val="12"/>
        <rFont val="Angsana New"/>
        <charset val="134"/>
      </rPr>
      <t>แบบเลขที่</t>
    </r>
    <r>
      <rPr>
        <sz val="12"/>
        <rFont val="Angsana New"/>
        <charset val="134"/>
      </rPr>
      <t xml:space="preserve">    -/2564    </t>
    </r>
    <r>
      <rPr>
        <b/>
        <sz val="12"/>
        <rFont val="Angsana New"/>
        <charset val="134"/>
      </rPr>
      <t xml:space="preserve"> แผ่นที่  </t>
    </r>
    <r>
      <rPr>
        <sz val="12"/>
        <rFont val="Angsana New"/>
        <charset val="134"/>
      </rPr>
      <t xml:space="preserve">  4/5 </t>
    </r>
    <r>
      <rPr>
        <b/>
        <sz val="12"/>
        <rFont val="Angsana New"/>
        <charset val="134"/>
      </rPr>
      <t xml:space="preserve"> ประมาณราคาเมื่อวันที่</t>
    </r>
    <r>
      <rPr>
        <sz val="12"/>
        <rFont val="Angsana New"/>
        <charset val="134"/>
      </rPr>
      <t xml:space="preserve">  6</t>
    </r>
    <r>
      <rPr>
        <b/>
        <sz val="12"/>
        <rFont val="Angsana New"/>
        <charset val="134"/>
      </rPr>
      <t xml:space="preserve"> เดือน</t>
    </r>
    <r>
      <rPr>
        <sz val="12"/>
        <rFont val="Angsana New"/>
        <charset val="134"/>
      </rPr>
      <t xml:space="preserve">  กันยายน   2564</t>
    </r>
  </si>
  <si>
    <t>ท่อ PVC 2"</t>
  </si>
  <si>
    <t>ท่อ PVC 1 1/2"</t>
  </si>
  <si>
    <t>ข้อต่อเกลียวนอก PVC  Ø 2"</t>
  </si>
  <si>
    <t>ข้อต่อสามทาง PVC  Ø 2"</t>
  </si>
  <si>
    <t>ข้องอ PVC  Ø 2"</t>
  </si>
  <si>
    <t>เทปพันเกลียว</t>
  </si>
  <si>
    <t>น้ำยประสานท่อขนาด 250 กรัม</t>
  </si>
  <si>
    <t>เข็มขัดรัดท่อ</t>
  </si>
  <si>
    <t xml:space="preserve">            ตัวอักษร                              (-หนึ่งแสนหนึ่งหมื่นเจ็ดพันหกร้อยเก้าสิบสามบาทเก้าสิบสามสตางค์-)</t>
  </si>
  <si>
    <r>
      <rPr>
        <b/>
        <sz val="12"/>
        <rFont val="Angsana New"/>
        <charset val="134"/>
      </rPr>
      <t xml:space="preserve">เจ้าของงาน               -               </t>
    </r>
    <r>
      <rPr>
        <sz val="12"/>
        <rFont val="Angsana New"/>
        <charset val="134"/>
      </rPr>
      <t xml:space="preserve">   </t>
    </r>
    <r>
      <rPr>
        <b/>
        <sz val="12"/>
        <rFont val="Angsana New"/>
        <charset val="134"/>
      </rPr>
      <t>แบบเลขที่</t>
    </r>
    <r>
      <rPr>
        <sz val="12"/>
        <rFont val="Angsana New"/>
        <charset val="134"/>
      </rPr>
      <t xml:space="preserve">    -/2564    </t>
    </r>
    <r>
      <rPr>
        <b/>
        <sz val="12"/>
        <rFont val="Angsana New"/>
        <charset val="134"/>
      </rPr>
      <t xml:space="preserve"> แผ่นที่  </t>
    </r>
    <r>
      <rPr>
        <sz val="12"/>
        <rFont val="Angsana New"/>
        <charset val="134"/>
      </rPr>
      <t xml:space="preserve">  5/5 </t>
    </r>
    <r>
      <rPr>
        <b/>
        <sz val="12"/>
        <rFont val="Angsana New"/>
        <charset val="134"/>
      </rPr>
      <t xml:space="preserve"> ประมาณราคาเมื่อวันที่</t>
    </r>
    <r>
      <rPr>
        <sz val="12"/>
        <rFont val="Angsana New"/>
        <charset val="134"/>
      </rPr>
      <t xml:space="preserve">  6</t>
    </r>
    <r>
      <rPr>
        <b/>
        <sz val="12"/>
        <rFont val="Angsana New"/>
        <charset val="134"/>
      </rPr>
      <t xml:space="preserve"> เดือน</t>
    </r>
    <r>
      <rPr>
        <sz val="12"/>
        <rFont val="Angsana New"/>
        <charset val="134"/>
      </rPr>
      <t xml:space="preserve">  กันยายน   2564</t>
    </r>
  </si>
  <si>
    <t>ค่าแรงประกอบโครงถังและประสานระบบท่อ</t>
  </si>
  <si>
    <t>งาน</t>
  </si>
  <si>
    <t>ถงน้ำไฟเบอกลาสขนาด 2,500 ลบ.ม.</t>
  </si>
  <si>
    <t>ถัง</t>
  </si>
  <si>
    <t>งานทาสีน้ำมัน</t>
  </si>
  <si>
    <t>ตร.ม</t>
  </si>
  <si>
    <t>ลวดเชื่อมขนาด 2.6 มม.</t>
  </si>
  <si>
    <t>ลัง</t>
  </si>
  <si>
    <t>รวมค่าดำเนินงาน</t>
  </si>
  <si>
    <t xml:space="preserve">            ตัวอักษร                              (-หนึ่งแสนแปดหมื่นหกพันสามร้อยสิบสามบาทเก้าสิบสามสตางค์-)</t>
  </si>
  <si>
    <t xml:space="preserve">  </t>
  </si>
  <si>
    <t>ประมาณราคาค่าก่อสร้าง</t>
  </si>
  <si>
    <t>ทดสอบความสามารถในการรับน้ำหนักบรรทุกของดิน  ปีงบประมาณ  2551</t>
  </si>
  <si>
    <t>แบบเลขที่</t>
  </si>
  <si>
    <t>รายการฯ เฉพาะแห่ง</t>
  </si>
  <si>
    <t>รายการเลขที่</t>
  </si>
  <si>
    <t>ฝ่ายประมาณราคา</t>
  </si>
  <si>
    <t>ประมาณการโดย</t>
  </si>
  <si>
    <t xml:space="preserve">นายประเสริฐ  บัวดำ </t>
  </si>
  <si>
    <t>จำนวนหน่วย</t>
  </si>
  <si>
    <t>ค่าวัสดุและ</t>
  </si>
  <si>
    <t>ราคาต่อหน่วย</t>
  </si>
  <si>
    <t>ค่าแรงงาน</t>
  </si>
  <si>
    <t xml:space="preserve">ทดสอบดินวิธี Boring Test (SPT.) </t>
  </si>
  <si>
    <t>จุด</t>
  </si>
  <si>
    <t>รวมเงิน</t>
  </si>
  <si>
    <t>คิดเป็นเงินค่างาน</t>
  </si>
  <si>
    <t>งานดิน   ปีงบประมาณ  2551</t>
  </si>
  <si>
    <t>อบต.กรูด</t>
  </si>
  <si>
    <t>1. งานดิน</t>
  </si>
  <si>
    <t>ดินถม - ดินตัด</t>
  </si>
  <si>
    <t>ถางป่า, ปรับเกลี่ยแต่งบริเวณระบบประปา</t>
  </si>
  <si>
    <t xml:space="preserve">กลุ่มงาน/งาน       </t>
  </si>
  <si>
    <t xml:space="preserve">ชื่อโครงการ/งานก่อสร้าง        </t>
  </si>
  <si>
    <t xml:space="preserve">สถานที่ก่อสร้าง        </t>
  </si>
  <si>
    <t xml:space="preserve">แบบเลขที่       </t>
  </si>
  <si>
    <t xml:space="preserve">หน่วยงานเจ้าของโครงการ       </t>
  </si>
  <si>
    <t xml:space="preserve">ประมาณราคาวันที่      </t>
  </si>
  <si>
    <t>ไทวัสดุ (อุดรธานี)</t>
  </si>
  <si>
    <t>โกบอลเฮาส์(อุดรธานี)</t>
  </si>
  <si>
    <t>บ./เมตร</t>
  </si>
  <si>
    <t xml:space="preserve">  -</t>
  </si>
  <si>
    <t>ท่อ พีวีซี แข็ง ท่อประปา ชนิดปลายธรรมดา ชั้น 13.5 ยาว 4 เมตร เส้นผ่านศูนย์กลาง 2" ตราเสือ</t>
  </si>
  <si>
    <t>บ./อัน</t>
  </si>
  <si>
    <t> ข้อต่อท่อ พีวีซี ตรง สำหรับใช้กับท่อรับแรงดัน เส้นผ่านศูนย์กลาง 2 " ตรา ช้าง</t>
  </si>
  <si>
    <t xml:space="preserve"> - กาวประสานท่อ 250 กรัม</t>
  </si>
  <si>
    <t>บ./กระป๋อง</t>
  </si>
  <si>
    <t>ลงชื่อ...................................................</t>
  </si>
  <si>
    <t xml:space="preserve">         (นายเมธา   รอดขันเมือง)</t>
  </si>
  <si>
    <t xml:space="preserve">         ผู้อำนวยการกองช่าง</t>
  </si>
  <si>
    <t>แบบแสดงรายการ  ปริมาณงาน  และราคา</t>
  </si>
  <si>
    <t>งานโครงสร้างวิศวกรรม/งานอาคาร</t>
  </si>
  <si>
    <t xml:space="preserve"> ตามรายละเอียดแบบแปลนองค์การบริหารส่วนตำบลเชียงดากำหนด</t>
  </si>
  <si>
    <t>องค์การบริหารส่วนตำบลเชียงดา ตำบลเชียงดา อำเภอสร้างคอม จังหวัดอุดรธานี</t>
  </si>
  <si>
    <t>ราคาน้ำมันโซล่า 33.00-33.99 บาท/ลิตร</t>
  </si>
  <si>
    <t>หน่วย (บาท)</t>
  </si>
  <si>
    <t xml:space="preserve">จำนวนเงิน </t>
  </si>
  <si>
    <t>ค่าวัสดุ+ค่าแรงงาน</t>
  </si>
  <si>
    <t xml:space="preserve"> งานโครงสร้างวิศวกรรม</t>
  </si>
  <si>
    <t>งานดิน</t>
  </si>
  <si>
    <t xml:space="preserve">   2.1 ขุดดินหลุมฐานราก/ถมคืน</t>
  </si>
  <si>
    <t xml:space="preserve"> งานทรายหยาบรองพื้น</t>
  </si>
  <si>
    <t>งานแบบหล่อคอนกรีต</t>
  </si>
  <si>
    <t>3.1 ไม้แบบ</t>
  </si>
  <si>
    <t>3.2 ค่าแรง</t>
  </si>
  <si>
    <t>3.3 ค้ำยัน + เคร่ารัดแบบ</t>
  </si>
  <si>
    <t>3.4 ตะปู</t>
  </si>
  <si>
    <t xml:space="preserve">  4.1 ไม้แบบ</t>
  </si>
  <si>
    <t xml:space="preserve">  4.2 ค่าแรง</t>
  </si>
  <si>
    <t xml:space="preserve">  4.3 ค้ำยัน + เคร่ารัดแบบ</t>
  </si>
  <si>
    <t xml:space="preserve">  4.4 ตะปู</t>
  </si>
  <si>
    <t>งานคอนกรีต</t>
  </si>
  <si>
    <t>ยอดยกไป</t>
  </si>
  <si>
    <t>บาท</t>
  </si>
  <si>
    <t>ยอดยกมา</t>
  </si>
  <si>
    <t>ชิ้น</t>
  </si>
  <si>
    <t>งานพื้นไม้เนื้อแข็งรองรับชั้นบน</t>
  </si>
  <si>
    <t>รวมงานโครงสร้างวิศวกรรม</t>
  </si>
  <si>
    <t>งานปูนฉาบ, ตบแต่ง</t>
  </si>
  <si>
    <t>งานทาสี</t>
  </si>
  <si>
    <t>รวมงานสถาปัตยกรรม</t>
  </si>
  <si>
    <t>รวมงานระบบท่อประปา</t>
  </si>
  <si>
    <t>รวมงานระบบไฟฟ้า</t>
  </si>
  <si>
    <t>ป้าย</t>
  </si>
  <si>
    <t>9. งานอื่น ๆ</t>
  </si>
  <si>
    <t>ใบ</t>
  </si>
  <si>
    <t>เหมา</t>
  </si>
  <si>
    <t xml:space="preserve">10. งานฐานราก </t>
  </si>
  <si>
    <t xml:space="preserve"> </t>
  </si>
  <si>
    <t>แบบ ปร.4  แผ่นที่  3 / 8</t>
  </si>
  <si>
    <t xml:space="preserve">    001/2564</t>
  </si>
  <si>
    <t xml:space="preserve"> 1.12  งานทรายหยาบราดน้ำชุ่มอัดแน่น</t>
  </si>
  <si>
    <t xml:space="preserve"> 1.13  งานโครงหลังคาเหล็ก</t>
  </si>
  <si>
    <t>นน./ท่อน</t>
  </si>
  <si>
    <t>นน.รวม</t>
  </si>
  <si>
    <t xml:space="preserve">       - เหล็กรูปตัวซี ขนาด 100 X 50 X 20 X 3.2  มม.</t>
  </si>
  <si>
    <t xml:space="preserve">       - เหล็กกล่อง ขนาด 1" X 1"  หนา 1.6 มม.</t>
  </si>
  <si>
    <t xml:space="preserve">       - เหล็กแบน Flat  Bar  5X50  มม.  ยาว 30 ซม.</t>
  </si>
  <si>
    <t xml:space="preserve"> 1.14  ค่าแรงงานประกอบโครงหลังคาเหล็ก</t>
  </si>
  <si>
    <t xml:space="preserve"> 1.15  งานทาสีกันสนิมโครงหลังคาเหล็ก</t>
  </si>
  <si>
    <t xml:space="preserve"> 1.16  งานรื้อถอนอาคารเดิม</t>
  </si>
  <si>
    <t>รื้อกอง</t>
  </si>
  <si>
    <t xml:space="preserve">1.17 ลานคอนกรีต  หนา 0.10 ม. </t>
  </si>
  <si>
    <t xml:space="preserve">       - คอนกรีตผสมเสร็จ  (fc 240 ksc.)</t>
  </si>
  <si>
    <t xml:space="preserve">       - เหล็ก WIRE MESH 4 มม. # 0.25 x 0.25 ม.</t>
  </si>
  <si>
    <t xml:space="preserve">       - ทรายหยาบรองพื้น</t>
  </si>
  <si>
    <t>.</t>
  </si>
  <si>
    <t>เสาเข็ม คสล. ขนาด [/] 0.15 x 0.15 x 6.00 ม. หรือหกเหลี่ยมกลวง</t>
  </si>
  <si>
    <t>ขนาด 0.15 x 6.00 ม.</t>
  </si>
  <si>
    <t>แบบสรุปค่าก่อสร้าง</t>
  </si>
  <si>
    <t xml:space="preserve">กลุ่มงาน/งาน     </t>
  </si>
  <si>
    <t>งานอาคาร</t>
  </si>
  <si>
    <t xml:space="preserve">ชื่อโครงการ/งานก่อสร้าง     </t>
  </si>
  <si>
    <t xml:space="preserve">แบบเลขที่    </t>
  </si>
  <si>
    <t xml:space="preserve">หน่วยงานเจ้าของโครงการ  </t>
  </si>
  <si>
    <t>หน่วย : บาท</t>
  </si>
  <si>
    <t>ค่าวัสดุและแรงงาน</t>
  </si>
  <si>
    <t>FACTOR  F</t>
  </si>
  <si>
    <t>รวมค่าก่อสร้าง</t>
  </si>
  <si>
    <t xml:space="preserve">                                                                            </t>
  </si>
  <si>
    <t xml:space="preserve">งานเครื่องสูบน้ำแบบบาดาล ซับเมิสซิเบิ้ล </t>
  </si>
  <si>
    <t>งานทดสอบการรับน้ำหนักบรรทุกของดิน</t>
  </si>
  <si>
    <t>เงื่อนไขการใช้ตาราง Factor F</t>
  </si>
  <si>
    <t xml:space="preserve">  ภาษีมูลค่าเพิ่ม.....................7 %</t>
  </si>
  <si>
    <t xml:space="preserve">  ดอกเบี้ยเงินกู้...................... 7 %</t>
  </si>
  <si>
    <t>+</t>
  </si>
  <si>
    <t xml:space="preserve">  เงินล่วงหน้าจ่าย...................0%</t>
  </si>
  <si>
    <t xml:space="preserve">  เงินประกันผลงานหัก..........0%</t>
  </si>
  <si>
    <t>สรุป</t>
  </si>
  <si>
    <t xml:space="preserve"> รวมค่าก่อสร้างเป็นเงินทั้งสิ้น</t>
  </si>
  <si>
    <t xml:space="preserve">  (ตัวอักษร) </t>
  </si>
  <si>
    <t xml:space="preserve">  แบบ ปร.4 แผ่นที่ 6/6 </t>
  </si>
  <si>
    <t>บัญชีแสดงรายละเอียดปริมาณงาน</t>
  </si>
  <si>
    <t>งานครุภัณฑ์/งานอาคาร</t>
  </si>
  <si>
    <t xml:space="preserve">กลุ่มงานที่ 2 </t>
  </si>
  <si>
    <t>2.1 งานครุภัณฑ์จัดจ้างหรือสั่งทำ</t>
  </si>
  <si>
    <t xml:space="preserve"> 2.1.1 ท่อเหล็กกลมเคลือบสังกะสี รวมข้อต่อตรง 1 อัน </t>
  </si>
  <si>
    <t>กก./เส้น</t>
  </si>
  <si>
    <t xml:space="preserve"> - โคมไฟโซลาร์เซลล์ LED อลูมีเนียมคุณภาพสูงอย่างดี</t>
  </si>
  <si>
    <t>ทนความร้อนได้ดี</t>
  </si>
  <si>
    <t>แสงสีขาว (Daylight)ระยะส่องสว่าง 7 - 9 เมตร ระยะเวลาสะสมพลังงานแสงอาทิตย์ 6 - 8 ชม. สามารถใช้งานได้นาน 10 - 12 ชั่วโมง
ควบคุมการทำงานผ่านรีโมตคอนโทรลแบตเตอรี่ LiFePO4 3.2V 24,000 mAH</t>
  </si>
  <si>
    <t>รวมเป็นราคาค่าก่อสร้างเป็นเงิน</t>
  </si>
  <si>
    <t xml:space="preserve">  แบบ ปร.4 แผ่นที่ 5/6 </t>
  </si>
  <si>
    <t xml:space="preserve">กำหนดราคากลางวันที่      </t>
  </si>
  <si>
    <t xml:space="preserve">กลุ่มงานที่ 1 </t>
  </si>
  <si>
    <t>1.1 งานโครงสร้างวิศวกรรม</t>
  </si>
  <si>
    <t xml:space="preserve">   1.1.1 ขุดดินฐานรากพร้อมถมคืน</t>
  </si>
  <si>
    <t xml:space="preserve">   1.1.2 ทรายหยาบรองก้นหลุม</t>
  </si>
  <si>
    <t xml:space="preserve">   1.1.3 คอนกรีตหยาบอัตราส่วน 1:3:5</t>
  </si>
  <si>
    <t xml:space="preserve">   1.1.4 คอนกรีตผสมเสร็จรูปลูกบาศก์รับแรงอัดประลัย</t>
  </si>
  <si>
    <t xml:space="preserve">         ได้ไม่น้อยกว่า 240 กิโลกรัมต่อตารางเซนติเมตร</t>
  </si>
  <si>
    <t xml:space="preserve">   1.1.5 แบบหล่อคอนกรีต</t>
  </si>
  <si>
    <t xml:space="preserve">   1.1.6 เหล็กเส้นเสริมคอนกรีต</t>
  </si>
  <si>
    <t xml:space="preserve">    - เหล็กเส้นกลมผิวข้ออ้อย DB 12.มม.</t>
  </si>
  <si>
    <t xml:space="preserve">    - เหล็กเส้นกลมผิวเรียบ RB9 มม.(รัดรอบ)</t>
  </si>
  <si>
    <t xml:space="preserve">    - เหล็กเส้นกลมผิวเรียบ RB 6 มม.(ปลอก)</t>
  </si>
  <si>
    <t xml:space="preserve">    - ลวดผูกเหล็ก</t>
  </si>
  <si>
    <t xml:space="preserve">   1.1.7 แผ่น Plate ขนาด 0.30 x 0.30 ม. หนา 9 มม.</t>
  </si>
  <si>
    <t>สูตรคำนวณน้ำหนักของเหล็กเพลท (น้ำหนัก</t>
  </si>
  <si>
    <t xml:space="preserve">   1.1.8 เจาะรู แผ่น Plate</t>
  </si>
  <si>
    <t xml:space="preserve">ของแผ่นเพลท = ความหนา(มิลลิเมตร) x </t>
  </si>
  <si>
    <t xml:space="preserve">   1.1.8 แผ่นเหล็กยึดโคนเสา หนา 9 มม.</t>
  </si>
  <si>
    <t>ความกว้าง(เซ็นติเมตร) x ความยาว(เซ็นติเมตร)</t>
  </si>
  <si>
    <t xml:space="preserve">   1.1.9 เหล็ก J bolt ขนาด ศก. 14 มม. ยาว 300 มม. </t>
  </si>
  <si>
    <t xml:space="preserve"> x 0.000785)</t>
  </si>
  <si>
    <t xml:space="preserve">   1.1.10 ค่าทาสีและติดตั้งแผ่นสะท้อนแสง</t>
  </si>
  <si>
    <t xml:space="preserve">   1.1.11 แผ่นเหล็กกลม ขนาด ศก. 5 นิ้ว </t>
  </si>
  <si>
    <t xml:space="preserve">            หนา 2.00 มม.(ปิดหัวเสา)</t>
  </si>
  <si>
    <t xml:space="preserve">ก่อสร้างระบบประปาหมู่บ้านแบบบาดาลพร้อมหอถังสูง พร้อมเจาะบ่อบาดาล  </t>
  </si>
  <si>
    <t>หมู่ที่ 4 บ้านโนนสมบูรณ์</t>
  </si>
  <si>
    <t xml:space="preserve">อบต.ชด.สส. 10/2567      </t>
  </si>
  <si>
    <t xml:space="preserve">  5.1 คอนกรีตหยาบรองพื้น</t>
  </si>
  <si>
    <t xml:space="preserve">  5.2 คอนกรีตผสมเสร็จรูปลูกบาศก์รับแรงอัดประลัย</t>
  </si>
  <si>
    <t xml:space="preserve">       ได้ไม่น้อยกว่า 240 กิโลกรัมต่อตารางเซนติเมตร</t>
  </si>
  <si>
    <t xml:space="preserve">  6.1 เหล็กเส้นกลม ขนาด dia. 6 มม.</t>
  </si>
  <si>
    <t xml:space="preserve">  6.2 เหล็กข้ออ้อย ขนาด dia. 12 มม.</t>
  </si>
  <si>
    <t xml:space="preserve">  6.3 ลวดผูกเหล็ก No. 18</t>
  </si>
  <si>
    <t xml:space="preserve">  6.4 สลักเกลียว(J Bolt) dia.3/4'' ยาว 0.50 m (ครบชุด)</t>
  </si>
  <si>
    <t>งานโครงสร้างเหล็กหอถัง</t>
  </si>
  <si>
    <t xml:space="preserve">  7.6 เหล็กฉาก ขนาด 50 x 50 x 6 มม.</t>
  </si>
  <si>
    <t xml:space="preserve">  8.1 ไม้เนื้อแข็งขนาด 2''x4''x3.6 m</t>
  </si>
  <si>
    <t xml:space="preserve">  8.2 ไม้เนื้อแข็งขนาด 2''x4''x0.80 m</t>
  </si>
  <si>
    <t xml:space="preserve">  8.3  น็อตยึดไม้พื้น ขนาด 3/8''</t>
  </si>
  <si>
    <t xml:space="preserve"> 9.1 ฉาบปูนเรียบธรรมดา</t>
  </si>
  <si>
    <t xml:space="preserve">  10.1 ทาสีน้ำพลาสติก</t>
  </si>
  <si>
    <t xml:space="preserve">  10.2 ทาสีน้ำมัน</t>
  </si>
  <si>
    <t xml:space="preserve">  11.1 งานประสานท่อ</t>
  </si>
  <si>
    <t xml:space="preserve">     - ท่อ PVC ขนาด 2'' ชั้น 8.5 พร้อมข้อต่อ</t>
  </si>
  <si>
    <t xml:space="preserve">     - ข้องอ 90 ขนาด 2'' </t>
  </si>
  <si>
    <t xml:space="preserve">     - ข้องอ 45 ขนาด 2'' </t>
  </si>
  <si>
    <t xml:space="preserve">   - ข้อต่อตรงเกลียวใน ขนาด 2'' </t>
  </si>
  <si>
    <t xml:space="preserve">   - วาว์ทองเหลือง ขนาด 2''</t>
  </si>
  <si>
    <t xml:space="preserve">   - น้ำยาประสานท่อ PVC ขนาด 1,000 กรัม</t>
  </si>
  <si>
    <t xml:space="preserve">  12.1 งานติดตั้งระบบไฟฟ้า</t>
  </si>
  <si>
    <t xml:space="preserve">  12.2 สายทองแดง เบอร์ 16</t>
  </si>
  <si>
    <t xml:space="preserve">  12.4 ท่อร้อยสายไฟ 1/2''</t>
  </si>
  <si>
    <t>แบบ ปร.4 (ก) ที่แนบ  มีจำนวน     6      แผ่น</t>
  </si>
  <si>
    <t>งานอาคาร/งานโครงสร้างวิศวกรรม</t>
  </si>
  <si>
    <t>งานอาคาร/งานสถาปัตยกรรม</t>
  </si>
  <si>
    <t>งานโครงสร้างวิศวกรรมเสาไฟฟ้าระบบโซล่าเซลล์จำนวน 10 ต้น</t>
  </si>
  <si>
    <t>งานครุภัณฑ์เสาไฟฟ้าระบบโซล่าเซลล์จำนวน 10 ต้น</t>
  </si>
  <si>
    <t>งานเจาะบ่อบาดาลขนาด 6 นิ้ว ความลึกไม่น้อยกว่า 60 เมตร</t>
  </si>
  <si>
    <t>ปริมาณน้ำต้องได้ไม่น้อยกว่า 7 ลบ.ม./ชม.</t>
  </si>
  <si>
    <t xml:space="preserve">   ขนาด 1.5 แรงม้า ขนาดไฟไม่น้อยกว่า 220 โวลล์   พร้อมท่อ PVC ขนาด 6'' ชั้น 13.5 จำนวน 6 ท่อน พร้อมข้อต่อและอุปกรณ์</t>
  </si>
  <si>
    <t>งานถังไฟเบอร์กลาส ความจุ 2.50 ลบ.ม.จำนวน 4 ถัง</t>
  </si>
  <si>
    <t>งานป้ายโครงการ</t>
  </si>
  <si>
    <t>เงินล่วงหน้าจ่าย...................0 %</t>
  </si>
  <si>
    <t>เงินประกันผลงานหัก..........0 %</t>
  </si>
  <si>
    <t>คิดเพียง</t>
  </si>
  <si>
    <t xml:space="preserve">  ปริมาณงาน</t>
  </si>
  <si>
    <t xml:space="preserve">  ราคาเฉลี่ยประมาณ</t>
  </si>
  <si>
    <t xml:space="preserve"> บาท/ ชุด</t>
  </si>
  <si>
    <t>ระยะเวลาดำเนินการ    90  วัน</t>
  </si>
  <si>
    <t xml:space="preserve"> ประมาณราคา…………………………………………..</t>
  </si>
  <si>
    <t>ตรวจสอบ............................................................</t>
  </si>
  <si>
    <t xml:space="preserve">                     (นายอานัณย์  หนูทอง )</t>
  </si>
  <si>
    <t xml:space="preserve">      (นายเมธา   รอดขันเมือง)</t>
  </si>
  <si>
    <t xml:space="preserve">                         ผู้ช่วยนายช่างโยธา</t>
  </si>
  <si>
    <t xml:space="preserve">                                       ผู้อำนวยการกองช่าง</t>
  </si>
  <si>
    <t>เห็นชอบ........................................................</t>
  </si>
  <si>
    <t>อนุมัติ...................................................................</t>
  </si>
  <si>
    <t xml:space="preserve">               (นายชุมพล คำตลบ)</t>
  </si>
  <si>
    <t xml:space="preserve">                (นายมนู  พันธ์ดง)</t>
  </si>
  <si>
    <t xml:space="preserve">      ปลัดองค์การบริหารส่วนตำบลเชียงดา </t>
  </si>
  <si>
    <t xml:space="preserve">      นายกองค์การบริหารส่วนตำบลเชียงดา</t>
  </si>
  <si>
    <t>ข้อมูลงานคอนกรีต</t>
  </si>
  <si>
    <t>อัตราส่วนของวัสดุใน Class  ต่างๆ( 1 ลบ.ม.แน่น)</t>
  </si>
  <si>
    <t>ไม้แบบ</t>
  </si>
  <si>
    <t>ทรายหยาบบดอัดแน่น</t>
  </si>
  <si>
    <t>ข้อมูลงานคอนกรีต Class ต่างๆ ตามมาตรฐานกรมทางหลวงชนบท</t>
  </si>
  <si>
    <t xml:space="preserve">อัตราส่วนของวัสดุใน Class  ต่างๆ( 1 ลบ.ม.แน่น) ตามมาตรฐานกรมทางหลวงชนบท </t>
  </si>
  <si>
    <r>
      <rPr>
        <b/>
        <sz val="13"/>
        <rFont val="TH SarabunPSK"/>
        <charset val="134"/>
      </rPr>
      <t xml:space="preserve">ไม้แบบสำหรับงานทั่วไป </t>
    </r>
    <r>
      <rPr>
        <sz val="13"/>
        <rFont val="TH SarabunPSK"/>
        <charset val="134"/>
      </rPr>
      <t>=  ไม้แบบ (1) พื้นที่ 1 ตารางเมตร</t>
    </r>
  </si>
  <si>
    <t>ค่าวัสดุจากแหล่งรวมค่าตัก</t>
  </si>
  <si>
    <t>=</t>
  </si>
  <si>
    <t>บาท/ลบ.ม.</t>
  </si>
  <si>
    <t>[1]</t>
  </si>
  <si>
    <t>กรณีทรายและหินมีหน่วยเป็นน้ำหนัก(สภาพอิ่มตัวผิวแห้ง)</t>
  </si>
  <si>
    <t>1.กรณีทรายและหินมีหน่วยเป็นน้ำหนัก</t>
  </si>
  <si>
    <t>คิดจากพื้นที่</t>
  </si>
  <si>
    <t>ค่าขนส่ง    =</t>
  </si>
  <si>
    <t>กม.</t>
  </si>
  <si>
    <t>[2] (จากตารางค่าขนส่ง)</t>
  </si>
  <si>
    <t>Class  of  Concrete</t>
  </si>
  <si>
    <t>ค4</t>
  </si>
  <si>
    <t>ค3</t>
  </si>
  <si>
    <t>ค2</t>
  </si>
  <si>
    <t>ค1</t>
  </si>
  <si>
    <t>Lean 1 : 3 : 5</t>
  </si>
  <si>
    <t>Class</t>
  </si>
  <si>
    <t>ซีเมนต์</t>
  </si>
  <si>
    <t>ทราย(อิ่มตัวผิวแห้ง)</t>
  </si>
  <si>
    <t>หิน(อิ่มตัวผิวแห้ง)</t>
  </si>
  <si>
    <t>ไม้กระบากหรือไม้ยางหรือเทียบเท่า</t>
  </si>
  <si>
    <t>ลบ.ฟ. @</t>
  </si>
  <si>
    <t>บาท/ตร.ม.</t>
  </si>
  <si>
    <t>[3]</t>
  </si>
  <si>
    <t>ส่วนผสมคอนกรีต</t>
  </si>
  <si>
    <t>400:734:1019</t>
  </si>
  <si>
    <t>350:800:1030</t>
  </si>
  <si>
    <t>320:835:1070</t>
  </si>
  <si>
    <t>290:868:1015</t>
  </si>
  <si>
    <t>240:728:1218</t>
  </si>
  <si>
    <t>(ชั้น)</t>
  </si>
  <si>
    <t>(กก.)</t>
  </si>
  <si>
    <t>ไม้คร่าว</t>
  </si>
  <si>
    <t>[2]</t>
  </si>
  <si>
    <t>ส่วนยุบตัว ………[3]……. x (1.40)</t>
  </si>
  <si>
    <t>[4]=[3]x1.40</t>
  </si>
  <si>
    <t>ปูนซีเมนต์ซีเมนต์</t>
  </si>
  <si>
    <t>x</t>
  </si>
  <si>
    <t>ต่ำสุด</t>
  </si>
  <si>
    <t>สูงสุด</t>
  </si>
  <si>
    <t>ไม้ค้ำยันแบบ</t>
  </si>
  <si>
    <t>ต้น @</t>
  </si>
  <si>
    <t>ค่าดำเนินการและค่าเสื่อมบดทับ 75 %</t>
  </si>
  <si>
    <t>[5] (จากตารางค่าดำเนินการ)x0.75</t>
  </si>
  <si>
    <t>ทราย</t>
  </si>
  <si>
    <t>(734)</t>
  </si>
  <si>
    <t>(1019)</t>
  </si>
  <si>
    <t>กก. @</t>
  </si>
  <si>
    <t>[4]</t>
  </si>
  <si>
    <t>ค่างานต้นทุน</t>
  </si>
  <si>
    <t>[6]=[4]+[5]</t>
  </si>
  <si>
    <t>(800)</t>
  </si>
  <si>
    <t>(1030)</t>
  </si>
  <si>
    <t>[5]=[1]+[2]+[3]+[4]</t>
  </si>
  <si>
    <t>ค่าแรงผสม - เท</t>
  </si>
  <si>
    <t>(835)</t>
  </si>
  <si>
    <t>(1070)</t>
  </si>
  <si>
    <t>เนื่องจากใช้งานได้ประมาณ  4  ครั้ง คิดจาก [5]</t>
  </si>
  <si>
    <t>[6]=[5]/4</t>
  </si>
  <si>
    <t>(868)</t>
  </si>
  <si>
    <t>(1015)</t>
  </si>
  <si>
    <t>น้ำมันทาผิวไม้(ไม่คิดค่าใช้จ่าย)</t>
  </si>
  <si>
    <t>[7]</t>
  </si>
  <si>
    <t>ค่าแรงผสมและเทคอนกรีต</t>
  </si>
  <si>
    <t>ค่าแรงไม้แบบ</t>
  </si>
  <si>
    <t>[8] (จากบัญชีค่าแรงงานฯ)</t>
  </si>
  <si>
    <t>กรณีทรายและหินมีหน่วยเป็นปริมาตร</t>
  </si>
  <si>
    <t>LEAN CONCRETE 1 : 3 : 5</t>
  </si>
  <si>
    <t>รวมค่างานต้นทุน</t>
  </si>
  <si>
    <t>[9]=[6]+[7]+[8]</t>
  </si>
  <si>
    <t>งานสะพาน</t>
  </si>
  <si>
    <t>ราคาที่กำหนด</t>
  </si>
  <si>
    <t>[10]=[9]</t>
  </si>
  <si>
    <t>กำแพงกันดินคอนกรีตเสริมเหล็ก (R.C. Retaining  Wall)</t>
  </si>
  <si>
    <t>400:524:728</t>
  </si>
  <si>
    <t>350:572:736</t>
  </si>
  <si>
    <t>320:596:764</t>
  </si>
  <si>
    <t>290:520:725</t>
  </si>
  <si>
    <t>240:520:870</t>
  </si>
  <si>
    <t>2.กรณีทรายและหินมีหน่วยเป็นปริมาตร</t>
  </si>
  <si>
    <t>อ่างรับน้ำคอนกรีตเสริมเหล็ก  (R.C. Manhole)</t>
  </si>
  <si>
    <r>
      <rPr>
        <b/>
        <sz val="13"/>
        <rFont val="TH SarabunPSK"/>
        <charset val="134"/>
      </rPr>
      <t>ไม้แบบสำหรับงานอย่างง่าย</t>
    </r>
    <r>
      <rPr>
        <sz val="13"/>
        <rFont val="TH SarabunPSK"/>
        <charset val="134"/>
      </rPr>
      <t xml:space="preserve"> = ไม้แบบ (2) พื้นที่ 1 ตารางเมตร</t>
    </r>
  </si>
  <si>
    <t>บ่อพักรับน้ำบริเวณเกาะกลาง (Medain  Drop  Inlet)</t>
  </si>
  <si>
    <t>(ลิตร)</t>
  </si>
  <si>
    <t>แผงกั้นคอนกรีต (Concrete  Barrier)</t>
  </si>
  <si>
    <t>กำแพงปากท่อคอนกรีตเสริมเหล็ก (R.C. Concrete  Head  Wall)</t>
  </si>
  <si>
    <t>(524)</t>
  </si>
  <si>
    <t>(728)</t>
  </si>
  <si>
    <t>งานคอนกรีตโครงสร้างทั่วไป</t>
  </si>
  <si>
    <t>(572)</t>
  </si>
  <si>
    <t>(736)</t>
  </si>
  <si>
    <t>(596)</t>
  </si>
  <si>
    <t>(764)</t>
  </si>
  <si>
    <t>(620)</t>
  </si>
  <si>
    <t>(725)</t>
  </si>
  <si>
    <t>ค่าแรงงานรายการ  ข้อ  1 - ข้อ  6  ให้ใช้ค่าแรงงานต่อหน่วยตามบัญชีค่าแรงงาน/ดำเนินการสำหรับการถอดแบบคำนวณราคากลางงานก่อสร้าง</t>
  </si>
  <si>
    <t>ในส่วนของข้อมูลงานคอนกรีตนี้ ผู้มีหน้าที่คำนวณราคากลางสามารถปรับใช้ตามตารางข้อมูลงานคอนกรีต Class ต่างๆ ตามมาตรฐานของกรมทางหลวงหรือกรมทางหลวง</t>
  </si>
  <si>
    <t>เนื่องจากใช้งานได้ประมาณ  5  ครั้ง คิดจาก [5]</t>
  </si>
  <si>
    <t>[6]=[5]/5</t>
  </si>
  <si>
    <t>ที่ใช้กับงานก่อสร้างอาคารในส่วนของงานโครงสร้างและส่วนประกอบสำหรับอาคารชั้นเดียว</t>
  </si>
  <si>
    <t>ชนบท ได้ตามข้อมูล/ข้อเท็จจริงสำหรับโครงการ/งานก่อสร้างนั้น ส่วนกรณีที่เป็นกำลังคอนกรีตอื่นนอกเหนือจากมาตรฐานของกรมทางหลวงหรือกรมทางหลวงชนบทตาม</t>
  </si>
  <si>
    <t>ค่าแรงงานรายการ  ข้อ  7  ให้ใช้ค่าแรงงานต่อหน่วยตามบัญชีค่าแรงงาน/ดำเนินการสำหรับการถอดแบบคำนวณราคากลางงานก่อสร้าง</t>
  </si>
  <si>
    <t>ตารางดังกล่าวให้ผู้ออกแบบโครงการ/งานก่อสร้างนั้น กำหนดสัดส่วนหรืออัตราส่วนผสมขึ้นใหม่ตามหลักการทางวิศวกรรม โดยต้องระบุปริมาณปูนซีเมนต์และหรือวัสดุที่ให้ใช้</t>
  </si>
  <si>
    <t>ที่ใช้กับงานก่อสร้างอาคารในส่วนของงานทางเท้า  ทางระบายน้ำ  บ่อพัก  และถนนภายในบริเวณอาคาร</t>
  </si>
  <si>
    <t>ขั้นต่ำในขั้นตอนการก่อสร้างไว้ด้วย และให้ผู้มีหน้าที่ในการคำนวณราคากลางใช้ปริมาณปูนซีเมนต์และหรือวัสดุขั้นต่ำนั้นในการกำหนดข้อมูลเพื่อคำนวณราคากลาง</t>
  </si>
  <si>
    <t xml:space="preserve"> - ตัวเลขในวงเล็บเป็นค่ากลางที่ใช้ในการคำนวณราคากลาง</t>
  </si>
  <si>
    <t xml:space="preserve"> - กรณีที่มีการออกแบบอัตราส่วนของวัสดุในคอนกรีตไว้แล้ว  อาจใช้อัตราส่วนของวัสดุในคอนกรีตในการคำนวณราคากลาง</t>
  </si>
  <si>
    <t>ที่มา : ตารางและข้อมูลงาน Class ต่างๆ ตามมาตรฐานทางหลวงชนบท  อ้างอิงหรือศึกษาได้จากหลักเกณฑ์การคำนวณราคากลางงานก่อสร้างทาง  สะพาน  และท่อเหลี่ยม(หน้า 22 - 23)</t>
  </si>
  <si>
    <t xml:space="preserve"> - อัตราส่วนของวัสดุใน Class  ต่างๆ  ตามตาราง  คำนวณจากปริมาตรคอนกรีต  1  ลบ.ม.(แน่น)  ซึ่งปริมาตรของทรายและหินที่แสดงใน</t>
  </si>
  <si>
    <t>ทั้งนี้  ตามหลักเกณฑ์การคำนวณราคากลางงานก่อสร้างของทางราชการ  มติ ครม. เมื่อ  วันที่  13  มีนาคม  2555</t>
  </si>
  <si>
    <t xml:space="preserve">   ตารางที่  2  เป็นปริมาตรหลวม</t>
  </si>
  <si>
    <r>
      <rPr>
        <b/>
        <sz val="13"/>
        <rFont val="TH SarabunPSK"/>
        <charset val="134"/>
      </rPr>
      <t>ไม้แบบสำหรับงานสะพานและท่อเหลี่ยม</t>
    </r>
    <r>
      <rPr>
        <sz val="13"/>
        <rFont val="TH SarabunPSK"/>
        <charset val="134"/>
      </rPr>
      <t xml:space="preserve"> = ไม้แบบ (3) พื้นที่ 1 ตารางเมตร</t>
    </r>
  </si>
  <si>
    <t xml:space="preserve"> - การคำนวณอัตราส่วนของวัสดุใน Class  ต่างๆ  นั้น  จะต้องเผื่อส่วนยุบตัวและสูญเสียไว้ด้วย  ดังนี้</t>
  </si>
  <si>
    <t xml:space="preserve">   (1) เผื่อส่วนยุบตัวและสูญเสียของหิน  สัดส่วน   1.15  หรือ  15 %</t>
  </si>
  <si>
    <t xml:space="preserve">   (2) เผื่อส่วนยุบตัวและสูญเสียของทราย  สัดส่วน  1.20  หรือ  20 %</t>
  </si>
  <si>
    <t>ไม้อัดยาง หนา 4 มม.</t>
  </si>
  <si>
    <t xml:space="preserve">   (3) เผื่อส่วนยุบตัวและสูญเสียของซีเมนต์  สัดส่วน  1.05  หรือ  5 %</t>
  </si>
  <si>
    <t>ที่มา : อัตราส่วนวัสดุใน Class ต่างๆ (1 ลบ.ม.แน่น)  อ้างอิงหรือศึกษาได้จากหลักเกณฑ์การคำนวณราคากลางงานก่อสร้างทาง  สะพาน  และท่อเหลี่ยม(หน้า 57 - 59)</t>
  </si>
  <si>
    <t>เนื่องจากใช้งานได้ประมาณ  3  ครั้ง คิดจาก [5]</t>
  </si>
  <si>
    <t>[6]=[5]/3</t>
  </si>
  <si>
    <t xml:space="preserve">       ทั้งนี้  ตามหลักเกณฑ์การคำนวณราคากลางงานก่อสร้างของทางราชการ  มติ ครม. เมื่อ  วันที่  13  มีนาคม  2555</t>
  </si>
  <si>
    <t>ตารางคำนวณหาค่าวัสดุมวลรวมต่อหน่วยของงานก่อสร้าง</t>
  </si>
  <si>
    <t>ตารางแสดงวิธีการคำนวณหาค่าวัสดุมวลรวมต่อหน่วยของงานก่อสร้างประเภทต่างๆ</t>
  </si>
  <si>
    <t>ราคารวม</t>
  </si>
  <si>
    <t>วัสดุมวลรวม</t>
  </si>
  <si>
    <t xml:space="preserve">งานผนังก่อคอนกรีตบล็อกขนาด 19 x 39 x 7 ซม. </t>
  </si>
  <si>
    <t xml:space="preserve"> 1.1 คอนกรีตบล็อกขนาดขนาด 19 x 39 x 7 ซม. </t>
  </si>
  <si>
    <t>ก้อน</t>
  </si>
  <si>
    <t>พาณิช์ จว.หนองคาย</t>
  </si>
  <si>
    <t xml:space="preserve"> 1.2 ปูนซีเมนต์ผสม (Silica Cement) </t>
  </si>
  <si>
    <t>พาณิช์ จว.อุดรธานี</t>
  </si>
  <si>
    <t xml:space="preserve"> 1.3 ทรายหยาบ</t>
  </si>
  <si>
    <t>สืบราคา</t>
  </si>
  <si>
    <t xml:space="preserve"> 1.4 น้ำผสมปูนก่อ</t>
  </si>
  <si>
    <t>ลิตร.</t>
  </si>
  <si>
    <t>ค่าน้ำประปา</t>
  </si>
  <si>
    <t xml:space="preserve"> 1.5 รวมผนังก่อซีเมนต์บล๊อคหนา 7 ซม. พื้นที่ 1 ตร.ม.</t>
  </si>
  <si>
    <t xml:space="preserve">     - รวมค่างานต้นทุน</t>
  </si>
  <si>
    <t xml:space="preserve"> =</t>
  </si>
  <si>
    <t>งานผนังก่อบล็อกแก้ว ขนาด 19 x 19 x 8 ซม.</t>
  </si>
  <si>
    <t xml:space="preserve"> 2.1 บล็อกแก้ว </t>
  </si>
  <si>
    <t>โกบอลส์หนองหาน</t>
  </si>
  <si>
    <t xml:space="preserve"> 2.2 ปูนซีเมนต์ผสม (Silica Cement) </t>
  </si>
  <si>
    <t>พาณิช์ จว.</t>
  </si>
  <si>
    <t xml:space="preserve"> 2.3 ปูนยาแนว</t>
  </si>
  <si>
    <t xml:space="preserve"> 2.4 น้ำผสมปูนก่อ</t>
  </si>
  <si>
    <t xml:space="preserve"> 2.5 รวมผนังก่อซีเมนต์บล๊อคหนา 7 ซม. พื้นที่ 1 ตร.ม.</t>
  </si>
  <si>
    <t>งานฉาบปูนผิวเรียบ (หนา 1.5 ซม.)</t>
  </si>
  <si>
    <t xml:space="preserve"> 3.1 ปูนซีเมนต์ผสม (Silica Cement) </t>
  </si>
  <si>
    <t xml:space="preserve"> 3.2 น้ำยาผสมปูนฉาบ</t>
  </si>
  <si>
    <t>โกบอลส์หนองคาย</t>
  </si>
  <si>
    <t xml:space="preserve"> 3.2 ทรายละเอียด(ใช้ราคาทรายหยาบ)</t>
  </si>
  <si>
    <t xml:space="preserve"> 3.3 น้ำผสมปูนฉาบ</t>
  </si>
  <si>
    <t xml:space="preserve"> 3.4 รวมฉาบปูนผิวเรียบ พื้นที่ 1 ตร.ม..</t>
  </si>
  <si>
    <t>งานทาสี สีน้ำอะคริลิค 100 % ชนิดภายนอก (ปูนใหม่) เกรดที่ 2  (ประเภททั่วไป)</t>
  </si>
  <si>
    <t xml:space="preserve"> 12.31 สิโป๊ว จำนวน</t>
  </si>
  <si>
    <t xml:space="preserve"> 12.32 สีทารองพื้นปูนใหม่</t>
  </si>
  <si>
    <t>GL</t>
  </si>
  <si>
    <t xml:space="preserve"> 12.33 สีทาภายในทาทับหน้า 2 เที่ยว</t>
  </si>
  <si>
    <t>=2,313.08/18.925</t>
  </si>
  <si>
    <t xml:space="preserve"> 12.34 น้ำผสมสี </t>
  </si>
  <si>
    <t xml:space="preserve"> 12.35 รวมวัสดุทาสีภายนอก (ปูนใหม่) พื้นที่ 1 ตร.ม.</t>
  </si>
  <si>
    <t>งานทาสี สีน้ำอะคริลิค 100 % ชนิดภายนอก (ปูนเก่า) เกรดที่ 2  (ประเภททั่วไป)</t>
  </si>
  <si>
    <t xml:space="preserve"> 1.1 สีทารองพื้นปูนเก่า</t>
  </si>
  <si>
    <t xml:space="preserve"> 1.2 สีทาภายนอกทาทับหน้า 2 เที่ยว</t>
  </si>
  <si>
    <t xml:space="preserve"> 1.3 น้ำผสมสี </t>
  </si>
  <si>
    <t xml:space="preserve"> 1.4 รวมวัสดุทาสีภายใน (ปูนใหม่) พื้นที่ 1 ตร.ม.</t>
  </si>
  <si>
    <t xml:space="preserve">งานทาสีน้ำมันและกันสนิมเหล็ก(รองพื้นกันสนิม+สีน้ำมัน 2 เที่ยว) </t>
  </si>
  <si>
    <t xml:space="preserve"> 2.1 สีทารองพื้นกันสนิม จำนวน</t>
  </si>
  <si>
    <t>บาท/GL</t>
  </si>
  <si>
    <t>ตร.ม./GL/</t>
  </si>
  <si>
    <t>ลิตร</t>
  </si>
  <si>
    <t xml:space="preserve"> 2.2 สีทาทับหนา 2 เที่ยว จำนวน</t>
  </si>
  <si>
    <t xml:space="preserve"> 2.3 น้ำมันสนหรือน้ำมันซักแห้ง จำนวน</t>
  </si>
  <si>
    <t xml:space="preserve"> 2.3 รวมวัสดุทาสีน้ำมันกันสนิมเหล็ก พื้นที่ 1 ตร.ม.</t>
  </si>
  <si>
    <t xml:space="preserve">งานทาสีน้ำมันและกันสนิมเหล็ก(รองพื้นกันสนิม 2 เที่ยว+สีน้ำมัน 2 เที่ยว) </t>
  </si>
  <si>
    <t xml:space="preserve"> 2.1 สีทารองพื้นกันสนิม 2 เที่ยว จำนวน</t>
  </si>
  <si>
    <t xml:space="preserve"> 2.2 สีทาทับหน้า 2 เที่ยว จำนวน</t>
  </si>
  <si>
    <t>งานทาสีน้ำมันทาไม้</t>
  </si>
  <si>
    <t xml:space="preserve"> 3.1 กระดาษทราย 9"X11"เบอร์เหมาะสมกับงาน จำนวน</t>
  </si>
  <si>
    <t xml:space="preserve"> 3.2 สิโป๊ว จำนวน</t>
  </si>
  <si>
    <t xml:space="preserve"> 3.3 สีทารองพื้นไม้ 2 เที่ยว จำนวน</t>
  </si>
  <si>
    <t xml:space="preserve"> 3.4 สีทาทับหน้า 2 เที่ยว  จำนวน</t>
  </si>
  <si>
    <t>โกบอลส์อุดรธานี</t>
  </si>
  <si>
    <t xml:space="preserve"> 3.5 น้ำมันผสม</t>
  </si>
  <si>
    <t xml:space="preserve"> 3.6 รวมวัสดุทาสีน้ำมันทาไม้ พื้นที่ 1 ตร.ม.</t>
  </si>
  <si>
    <t>ปริมาณงานโครงสร้างวิศวกรรมฐานราก</t>
  </si>
  <si>
    <t>จำนวนเสาไฟ</t>
  </si>
  <si>
    <t>ปริมาณงาน</t>
  </si>
  <si>
    <t>กว้าง</t>
  </si>
  <si>
    <t>ยาว</t>
  </si>
  <si>
    <t>หนา/ลึก/สูง</t>
  </si>
  <si>
    <t>(เมตร)</t>
  </si>
  <si>
    <t>ดินขุด</t>
  </si>
  <si>
    <t>ทรายหยาบรองก้นหลุม</t>
  </si>
  <si>
    <t>คอนกรีตหยาบ 1:3:5</t>
  </si>
  <si>
    <t>คอนกรีตโครงสร้าง</t>
  </si>
  <si>
    <t>ฐานราก</t>
  </si>
  <si>
    <t>เสาและตอม่อ</t>
  </si>
  <si>
    <t>คาน GB</t>
  </si>
  <si>
    <t>คานทับหลัง</t>
  </si>
  <si>
    <t>รวมคอนกรีต</t>
  </si>
  <si>
    <t>รวมไม้แบบ</t>
  </si>
  <si>
    <t>เหล็กเส้น</t>
  </si>
  <si>
    <t>รวม นน.เหล็ก</t>
  </si>
  <si>
    <t xml:space="preserve"> - เหล็กเส้น DB12มม.</t>
  </si>
  <si>
    <t xml:space="preserve"> - เหล็กปลอก RB 9 มม.</t>
  </si>
  <si>
    <t>คอนกรีตโครงสร้าง 1:2:4</t>
  </si>
  <si>
    <t>*1</t>
  </si>
  <si>
    <t>ต่อม่อ</t>
  </si>
  <si>
    <t>*2</t>
  </si>
  <si>
    <t>เสา</t>
  </si>
  <si>
    <t>*3</t>
  </si>
  <si>
    <t>เหล็กเสริมคอนกรีต</t>
  </si>
  <si>
    <t>ยาว/เมตร</t>
  </si>
  <si>
    <t>นน./เมตร</t>
  </si>
  <si>
    <t>ยาวต่อท่อน(m.)</t>
  </si>
  <si>
    <t>จำนวนท่อน</t>
  </si>
  <si>
    <t>จำนวนฐานราก</t>
  </si>
  <si>
    <t>*rb 12</t>
  </si>
  <si>
    <t xml:space="preserve"> ตัน</t>
  </si>
  <si>
    <t>*rb 9</t>
  </si>
  <si>
    <t>เหล็กรัดรอบ</t>
  </si>
  <si>
    <t>*rb12</t>
  </si>
  <si>
    <t>เหล็กเสา</t>
  </si>
  <si>
    <t>*rb 6</t>
  </si>
  <si>
    <t>เหล็กปลอก</t>
  </si>
  <si>
    <t>เหล็ก GB</t>
  </si>
  <si>
    <t>*rb6</t>
  </si>
  <si>
    <t>เหล็กเสริม</t>
  </si>
  <si>
    <t>RB 6</t>
  </si>
  <si>
    <t>RB 9</t>
  </si>
  <si>
    <t>RB 12</t>
  </si>
  <si>
    <t>กก./ตัน</t>
  </si>
  <si>
    <t>ใช้</t>
  </si>
  <si>
    <t xml:space="preserve"> 1นิ้ว   1  ตรม. ใช้ไม้แบบ 1  ลบฟ.</t>
  </si>
  <si>
    <t>ด้าน</t>
  </si>
  <si>
    <t>ตรม.</t>
  </si>
  <si>
    <t>คาน</t>
  </si>
  <si>
    <t>ลบฟ.</t>
  </si>
  <si>
    <t>งานโครงหลังคาเหล็ก</t>
  </si>
  <si>
    <t>อเส</t>
  </si>
  <si>
    <t>125x50x20x3.2 mm.x6m.</t>
  </si>
  <si>
    <t>ดั้ง</t>
  </si>
  <si>
    <t>อกไก่</t>
  </si>
  <si>
    <t>(2 ด้าน)</t>
  </si>
  <si>
    <t>75x45x15x3.2 mm.x 6 m.</t>
  </si>
  <si>
    <t xml:space="preserve"> ท่อน</t>
  </si>
  <si>
    <t>จันทัน</t>
  </si>
  <si>
    <t>จันทัน(หน้า)</t>
  </si>
  <si>
    <t>เหล็กยึด</t>
  </si>
  <si>
    <t>เหล็กถัก(1)</t>
  </si>
  <si>
    <t>เหล็กถัก(2)</t>
  </si>
  <si>
    <t>เหล็กถัก (3)</t>
  </si>
  <si>
    <t>แปรสำเร็จ</t>
  </si>
  <si>
    <t>ด้านยาว</t>
  </si>
  <si>
    <t>ด้านสั้น</t>
  </si>
  <si>
    <t>เชิงชายสำเร็จ</t>
  </si>
  <si>
    <t>จำนวนแผ่น</t>
  </si>
  <si>
    <t>ยาว(เมตร)</t>
  </si>
  <si>
    <t>2(ด้าน)</t>
  </si>
  <si>
    <t>แผ่นหลังคา metal sheet</t>
  </si>
  <si>
    <t>ด้านข้าง</t>
  </si>
  <si>
    <t>ด้านจั่ว</t>
  </si>
  <si>
    <r>
      <rPr>
        <b/>
        <i/>
        <sz val="14"/>
        <rFont val="CordiaUPC"/>
        <charset val="222"/>
      </rPr>
      <t>หอถังสูง ขนาด 10 ม.</t>
    </r>
    <r>
      <rPr>
        <b/>
        <i/>
        <vertAlign val="superscript"/>
        <sz val="14"/>
        <rFont val="CordiaUPC"/>
        <charset val="222"/>
      </rPr>
      <t>3</t>
    </r>
    <r>
      <rPr>
        <b/>
        <i/>
        <sz val="14"/>
        <rFont val="CordiaUPC"/>
        <charset val="222"/>
      </rPr>
      <t xml:space="preserve">  (ถังไฟเบอร์กลาส ขนาด 2.5 ลบ.ม. จำนวน 4 ลูก)   ปีงบประมาณ  2551</t>
    </r>
  </si>
  <si>
    <t>3412010</t>
  </si>
  <si>
    <t>ขุดดินหลุมฐานราก/ถมคืน</t>
  </si>
  <si>
    <t>ทรายหยาบ,ทรายหยาบรองพื้น</t>
  </si>
  <si>
    <t>2. งานแบบหล่อ</t>
  </si>
  <si>
    <t>ค้ำยัน + เคร่ารัดแบบ</t>
  </si>
  <si>
    <t>3. งานคอนกรีต</t>
  </si>
  <si>
    <t>คอนกรีต 1 : 3 : 5</t>
  </si>
  <si>
    <t>คอนกรีต 1 : 2 : 4 (ซีเมนต์ไม่น้อยกว่า 320 กก/ลบ.ม.)</t>
  </si>
  <si>
    <t>4. งานเหล็ก</t>
  </si>
  <si>
    <t>เหล็กเส้นกลม ขนาด dia. 6 มม.</t>
  </si>
  <si>
    <t>เหล็กข้ออ้อย ขนาด dia. 12 มม.</t>
  </si>
  <si>
    <t>ลวดผูกเหล็ก No. 18</t>
  </si>
  <si>
    <t>5. งานโครงสร้างเหล็ก</t>
  </si>
  <si>
    <t>ท่อเหล็กอาบสังกะสี+ข้อต่อยาว6ม. dia 3"</t>
  </si>
  <si>
    <t>ท่อเหล็กอาบสังกะสี+ข้อต่อยาว6ม. dia 2 1/2"</t>
  </si>
  <si>
    <t>ท่อเหล็กอาบสังกะสี+ข้อต่อยาว6ม. dia 2"</t>
  </si>
  <si>
    <t>ท่อเหล็กอาบสังกะสี+ข้อต่อยาว6ม. dia 1 1/4"</t>
  </si>
  <si>
    <t>เหล็กฉาก ขนาด 50 x 50 x 6 มม.</t>
  </si>
  <si>
    <t>ค่าแรงประกอบติดตั้งโครงสร้าง และท่อ</t>
  </si>
  <si>
    <t xml:space="preserve">6. ระบบท่อและอุปกรณ์ </t>
  </si>
  <si>
    <t>ท่อเหล็กอาบสังกะสี+ข้อต่อยาว6ม. dia 1"</t>
  </si>
  <si>
    <t xml:space="preserve">ข้องอ 90 เหล็กอาบสังกะสี dia. 3" </t>
  </si>
  <si>
    <t xml:space="preserve">ข้องอ 90 เหล็กอาบสังกะสี dia. 2" </t>
  </si>
  <si>
    <t xml:space="preserve">ข้องอ 45 เหล็กอาบสังกะสี dia. 3" </t>
  </si>
  <si>
    <t xml:space="preserve">ข้องอ 45 เหล็กอาบสังกะสี dia. 2" </t>
  </si>
  <si>
    <t xml:space="preserve">สามทาง เหล็กอาบสังกะสี dia. 3" </t>
  </si>
  <si>
    <t xml:space="preserve">สามทาง เหล็กอาบสังกะสี dia. 2" </t>
  </si>
  <si>
    <t>เหล็กรัดท่อ dia 3"</t>
  </si>
  <si>
    <t>เหล็กรัดท่อ dia 2"</t>
  </si>
  <si>
    <t>ประตูน้ำเหล็กหล่อบนดิน หน้าจาน dia 3" แบบพวงมาลัย</t>
  </si>
  <si>
    <t>ประตูน้ำเหล็กหล่อบนดิน หน้าจาน dia 2" แบบพวงมาลัย</t>
  </si>
  <si>
    <t>นิปเปิ้ล dia 2"</t>
  </si>
  <si>
    <t>ยูเนี่ยน dia 2"</t>
  </si>
  <si>
    <t>ยีโบลท์ dia 3"</t>
  </si>
  <si>
    <t>7. งานปูนฉาบ, ตบแต่ง</t>
  </si>
  <si>
    <t>ฉาบปูนเรียบธรรมดา</t>
  </si>
  <si>
    <t>8. งานทาสี</t>
  </si>
  <si>
    <t>ทาสีน้ำพลาสติก</t>
  </si>
  <si>
    <t>ทาสีน้ำมัน</t>
  </si>
  <si>
    <t xml:space="preserve">ไม้เนื้อแข็ง </t>
  </si>
  <si>
    <t>ถังไฟเบอร์กลาส ขนาดจุ 2.50 ลบ.ม.</t>
  </si>
  <si>
    <t>น๊อต dia. 1/2" x 3"</t>
  </si>
  <si>
    <t xml:space="preserve">อุปกรณ์ยึดถัง </t>
  </si>
  <si>
    <t xml:space="preserve">บันไดเหล็ก </t>
  </si>
  <si>
    <t>ป้ายชื่อ</t>
  </si>
  <si>
    <t xml:space="preserve">  แบบ ปร.4(ข) แผ่นที่ 1/1 </t>
  </si>
  <si>
    <t xml:space="preserve">แบบติดผนังขนาด 24,000 บีทียู </t>
  </si>
  <si>
    <t>2.1 งานครุภัณฑ์</t>
  </si>
  <si>
    <t>เครื่องปรับอากาศ แบบแยกส่วน (ราคารวมค่าติดตั ง)</t>
  </si>
  <si>
    <t xml:space="preserve"> - พัดลมติดผนังขนาด 18 นิ้ว</t>
  </si>
  <si>
    <t>แบบ ปร. 5(ข)</t>
  </si>
  <si>
    <t>แบบสรุปราคางานก่อสร้าง</t>
  </si>
  <si>
    <t>แบบ ปร.4(ข)  ที่แนบ  มีจำนวน     1      แผ่น</t>
  </si>
  <si>
    <t>ประเภทงานอาคาร/งานครุภัณฑ์</t>
  </si>
  <si>
    <t>แบบ ปร. 6</t>
  </si>
  <si>
    <t>แบบ ปร.5(ก)  ที่แนบ  มีจำนวน     1      แผ่น</t>
  </si>
  <si>
    <t>แบบ ปร.5(ข)  ที่แนบ  มีจำนวน     1      แผ่น</t>
  </si>
  <si>
    <t>ค่าก่อสร้าง</t>
  </si>
  <si>
    <t>งานป้ายถาวร</t>
  </si>
  <si>
    <t xml:space="preserve"> รวมค่าก่อสร้างทั้งโครงการเป็นเงินทั้งสิ้น</t>
  </si>
  <si>
    <t xml:space="preserve">  บาท / ตารางเมตร</t>
  </si>
  <si>
    <t>ระยะเวลาดำเนินการ    60  วัน</t>
  </si>
  <si>
    <t>ปริมาณงานโครงสร้างวิศวกรรม</t>
  </si>
  <si>
    <t>รั้วใหม่ยาว</t>
  </si>
  <si>
    <t>ระยะห่าง</t>
  </si>
  <si>
    <t xml:space="preserve"> - เหล็กเส้น RB9มม.(รัดรอบ)</t>
  </si>
  <si>
    <t>นน.เหล็ก</t>
  </si>
  <si>
    <t xml:space="preserve"> - เหล็กปลอก RB 6 มม.</t>
  </si>
  <si>
    <t xml:space="preserve"> - เหล็กเส้น RB9มม.</t>
  </si>
  <si>
    <t>รวมความยาวเหล็กเส้น</t>
  </si>
  <si>
    <t>รั้วเก่ายาว</t>
  </si>
  <si>
    <t>นน./ทั้งหมด</t>
  </si>
  <si>
    <t>ราคา/กก.</t>
  </si>
  <si>
    <t>พท.ทั้งหมด</t>
  </si>
  <si>
    <t>ยาวทั้งหมด</t>
  </si>
  <si>
    <t xml:space="preserve">เหล็ก C 100 x 50 x 20  หนา 2.30 มม. </t>
  </si>
  <si>
    <t xml:space="preserve"> - ทาสีน้ำมันและกันสนิมเหล็ก </t>
  </si>
  <si>
    <t>เหล็กกล่องขนาด 1/2" x 1/2" หนา 1.20 ม.</t>
  </si>
  <si>
    <t>เพิ่มใหม่ติดหัวลูกศร 97 ท่อน ยาว 0.27 เมตร</t>
  </si>
  <si>
    <t>นน./เส้น</t>
  </si>
  <si>
    <t xml:space="preserve">รวมทาสีน้ำมันและกันสนิมเหล็ก </t>
  </si>
  <si>
    <t>ม.</t>
  </si>
  <si>
    <t>ทาสี สีน้ำอะคริลิค 100 % ชนิดภายนอก</t>
  </si>
  <si>
    <t>พท.</t>
  </si>
  <si>
    <t xml:space="preserve"> (ปูนใหม่) เกรดที่ 2  (ประเภททั่วไป)</t>
  </si>
  <si>
    <t>ประตูข้าง ศพด.</t>
  </si>
  <si>
    <t>เหล็กกล่องขนาด 1/2" x 1/2" หนา 1.20 ม.(เพิ่มใหม่)</t>
  </si>
  <si>
    <t>เพิ่มใหม่ติดหัวลูกศร 97 ท่อน ยาว 1.05 เมตร</t>
  </si>
  <si>
    <t>ช่อง</t>
  </si>
  <si>
    <t xml:space="preserve">เหล็กกล่องขนาด 3" x 1 1/2" หนา 1.20 มม. </t>
  </si>
  <si>
    <t>รวมทาสีกันสนิมเหล็ก</t>
  </si>
  <si>
    <t>ประตูทางเข้า อบต.</t>
  </si>
  <si>
    <t>ท่อเหล็กกลมขนาด DIA  2 นิ้ว หนา 1.20 มม.</t>
  </si>
  <si>
    <t>งานปูนทรายรองพื้นสำหรับปูวัสดุแผ่นพื้นสำเร็จรูป (หนา 3 ซม.)</t>
  </si>
  <si>
    <t xml:space="preserve"> 1.1 ปูนซีเมนต์ผสม(Silica Cement)</t>
  </si>
  <si>
    <t>พาณิช์ จว.อุดร</t>
  </si>
  <si>
    <t xml:space="preserve"> 1.2 ทรายหยาบ</t>
  </si>
  <si>
    <t xml:space="preserve"> 1.3 น้ำผสมปูน</t>
  </si>
  <si>
    <t xml:space="preserve"> 1.4 รวมปูนทรายรองพื้น (สำหรับปูแผ่นพื้นสำเร็จรูป) พื้นที่ 1 ตร.ม.</t>
  </si>
  <si>
    <t>งานพื้นปูกระเบื้องดินเผาเคลือบเซรามิค (สีธรรมดา)  ขนาด 12"x12" DRY PROCESS (ปูแห้ง) ไม่รวมปูนทรายปรับระดับ</t>
  </si>
  <si>
    <t xml:space="preserve"> 2.1 กระเบื้องดินเผาเคลือบเซรามิคสีมีลวดลาย จำนวน</t>
  </si>
  <si>
    <r>
      <rPr>
        <sz val="8"/>
        <color rgb="FF000000"/>
        <rFont val="MS Sans Serif"/>
        <charset val="222"/>
      </rPr>
      <t>กระเบื้องเคลือบปูพื้น ชนิดสีเรียบ ขนาด 12" x 12" ตราคอตโต้</t>
    </r>
  </si>
  <si>
    <t xml:space="preserve"> 2.2 ปูนกาวซีเมนต์ หนา 5 มม. จำนวน</t>
  </si>
  <si>
    <t xml:space="preserve"> 2.3 ปูนยาแนว จำนวน</t>
  </si>
  <si>
    <t xml:space="preserve"> 2.4 น้ำผสมปูน จำนวน</t>
  </si>
  <si>
    <t xml:space="preserve"> 2.5 รวมพื้นปูกระเบื้องดินเผาเคลือบเซรามิคสีมีลวดลาย ขนาด 12"x12" (ปูแห้ง)พื้นที่ 1 ตร.ม.</t>
  </si>
  <si>
    <t>รวมพื้นปูกระเบื้องปูนทรายปรับระดับ</t>
  </si>
  <si>
    <t>งานพื้นปูกระเบื้องดินเผาเคลือบเซรามิค (สีธรรมดา)  ขนาด 8"x12" ไม่รวมปูนทรายปรับระดับ</t>
  </si>
  <si>
    <t xml:space="preserve"> 2.1 กระเบื้องเคลือบเซรามิคขนาด 8"x12" จำนวน</t>
  </si>
  <si>
    <t>ไทวัสดุอุดร</t>
  </si>
  <si>
    <t xml:space="preserve">บันทึกการสืบวัสดุก่อสร้าง   </t>
  </si>
  <si>
    <t xml:space="preserve">เทศบาลตำบลหนองไผ่   อำเภอหนองหาน  จังหวัดอุดรธานี </t>
  </si>
  <si>
    <t>บจก.โกบอลเฮ้าส์อุดรธานี</t>
  </si>
  <si>
    <t>บจก.โกบอลเฮ้าส์หนองคาย</t>
  </si>
  <si>
    <t>ไทวัสดุสาขาอุดรธานี</t>
  </si>
  <si>
    <t>16 กค.2567</t>
  </si>
  <si>
    <t>แผ่นยิบซั่มบอร์ด หนา 9 มม. ขนาด 1.20x2.40 ม.</t>
  </si>
  <si>
    <t>บ./แผ่น</t>
  </si>
  <si>
    <t>แผ่นยิบซั่มบอร์ด หนา 9 มม. ขนาด 1.20x2.41 ม.</t>
  </si>
  <si>
    <t>โครงเคร่าเหล็กชุบสังกะสี</t>
  </si>
  <si>
    <t>ซีลายน์</t>
  </si>
  <si>
    <t>ฉากริมผนังสังกะสี</t>
  </si>
  <si>
    <t>ฉาก 2 รูแขวนฝ้าเพดาน</t>
  </si>
  <si>
    <t>พุกเหล็ก</t>
  </si>
  <si>
    <t>บ./ตัว</t>
  </si>
  <si>
    <t>ตะขอ ป.ปลาหิ้วรางซี</t>
  </si>
  <si>
    <t>ลวดแขวนโครงเคร่า</t>
  </si>
  <si>
    <t>สกรูยิงแผ่นยิปซั่ม</t>
  </si>
  <si>
    <t>ปูนฉาบรอยต่อ</t>
  </si>
  <si>
    <t>ผ้าแถบ</t>
  </si>
  <si>
    <t xml:space="preserve">เรียน  นายกเทศมนตรีตำบลหนองไผ่ </t>
  </si>
  <si>
    <t>คณะกรรมการกำหนดราคากลางตามคำสั่งเลขที่ 469/2565 ลงวันที่  9 เดือนพฤศจิกายน พ.ศ. 2565 ประชุมเมื่อวันที่  16 เดือนพฤศจิกายน  พ.ศ. 2565</t>
  </si>
  <si>
    <t xml:space="preserve">  ลงชื่อ…………………………………………..ประธานกรรมการ(ผู้สืบราคา)</t>
  </si>
  <si>
    <t xml:space="preserve">        (นายเมธา   รอดขันเมือง)</t>
  </si>
  <si>
    <t xml:space="preserve">          ผู้อำนวยการกองช่าง</t>
  </si>
  <si>
    <t>งานฝ้าเผดานแผ่นยิบซั่มบอร์ด หนา 9 มม. ขนาด 1.20x2.40 ม. ทนชื้น โครงคร่าวเหล็กชุบสังกะสี @ 0.40x1.00 ม.</t>
  </si>
  <si>
    <t xml:space="preserve">  1.1 แผ่นยิบซั่มบอร์ด หนา 9 มม. ขนาด 1.20x2.40 ม.</t>
  </si>
  <si>
    <t xml:space="preserve">  1.2 โครงคร่าวเหล็กชุบสังกะสี No.24 และอุปกรณ์</t>
  </si>
  <si>
    <t xml:space="preserve">       - โครงเคร่าเหล็กชุบสังกะสี</t>
  </si>
  <si>
    <t xml:space="preserve">       - ซีลายน์</t>
  </si>
  <si>
    <t xml:space="preserve">       - ฉากริมผนังสังกะสี   </t>
  </si>
  <si>
    <t xml:space="preserve">       - ฉาก 2 รูแขวนฝ้าเพดาน</t>
  </si>
  <si>
    <t xml:space="preserve">       - พุกเหล็ก</t>
  </si>
  <si>
    <t xml:space="preserve">       - ตะขอ ป.ปลาหิ้วรางซี</t>
  </si>
  <si>
    <t xml:space="preserve">       - ลวดแขวนโครงเคร่า</t>
  </si>
  <si>
    <t xml:space="preserve"> 1.3 สกรูยิงแผ่นยิปซั่ม</t>
  </si>
  <si>
    <t xml:space="preserve"> 1.4 ปูนฉาบรอยต่อ+ผ้าแถบ</t>
  </si>
  <si>
    <t xml:space="preserve"> 2.5 รวมวัสดุทำฝ้าเผดานแผ่นยิบซั่มบอร์ด หนา 9 มม. </t>
  </si>
  <si>
    <t xml:space="preserve">  โครงคร่าวเหล็กชุบสังกะสี @ 0.40x1.00 ม.พื้นที่ 1 ตร.ม.</t>
  </si>
  <si>
    <t xml:space="preserve"> - ค่างานต้นทุน</t>
  </si>
  <si>
    <t>งานฝ้าเผดานแผ่นยิบซั่มบอร์ด หนา 9 มม. กันชื้น ขนาด 1.20x2.40 ม. โครงคร่าวเหล็กชุบสังกะสี @ 0.40x1.00 ม.</t>
  </si>
  <si>
    <t xml:space="preserve"> 2.1 แผ่นยิบซั่มบอร์ด หนา 9 มม. ขนาด 1.20x2.40 ม.</t>
  </si>
  <si>
    <t xml:space="preserve"> 2.2 โครงคร่าวเหล็กชุบสังกะสี No.24 และอุปกรณ์</t>
  </si>
  <si>
    <t xml:space="preserve"> 2.3 สกรูยิงแผ่นยิปซั่ม</t>
  </si>
  <si>
    <t xml:space="preserve"> 2.4 ปูนฉาบรอยต่อ+ผ้าแถบ</t>
  </si>
  <si>
    <t>งานเสาเอ็นและคานทับหลัง</t>
  </si>
  <si>
    <t xml:space="preserve"> 1.3 หินเบอร์ 1-2</t>
  </si>
  <si>
    <t>พาณิช์ จว.หนองบัว</t>
  </si>
  <si>
    <t xml:space="preserve"> 1.4 น้ำผสมปูน</t>
  </si>
  <si>
    <t xml:space="preserve"> 1.5 เหล็กเส้นกลมผิวเรียบ RB 6 มม.</t>
  </si>
  <si>
    <t xml:space="preserve"> 1.6 เหล็กเส้นกลมผิวเรียบ RB 9 มม.</t>
  </si>
  <si>
    <t xml:space="preserve"> 1.7 ลวดผูกเหล็ก</t>
  </si>
  <si>
    <t xml:space="preserve"> 1.7 ไม้แบบ 50 %</t>
  </si>
  <si>
    <t xml:space="preserve"> 1.8 ตะปู</t>
  </si>
  <si>
    <t xml:space="preserve"> 1.4 รวมเสาเอ็นและคานทับหลัง ยาว 1 เมตร</t>
  </si>
  <si>
    <t>คิดต่อ 1 ป้าย</t>
  </si>
  <si>
    <t>เมตร  ยาว</t>
  </si>
  <si>
    <t>เมตร      พื้นที่</t>
  </si>
  <si>
    <t>ราคา</t>
  </si>
  <si>
    <t>รวมราคา</t>
  </si>
  <si>
    <t>วัสดุ</t>
  </si>
  <si>
    <t xml:space="preserve">แผ่นเหล็ก ขนาดกว้าง 1.20 เมตร ยาว 2.40 เมตร </t>
  </si>
  <si>
    <t xml:space="preserve">เหล็กกล่องขนาด 1"x1" หนา 1.20 มม. </t>
  </si>
  <si>
    <t>คอนกรีตหยาบ</t>
  </si>
  <si>
    <t>แผ่นเหล็ก</t>
  </si>
  <si>
    <t>ท่อเหล็กกลม</t>
  </si>
  <si>
    <t>เหล็กกล่อง</t>
  </si>
  <si>
    <t>ค่าทาสีเหล็กกันสนิม</t>
  </si>
  <si>
    <t>ค่าทาสีน้ำมัน</t>
  </si>
  <si>
    <t>นน.</t>
  </si>
  <si>
    <t>ค่าเขียนป้าย</t>
  </si>
  <si>
    <t>ค่าติดตั้งแผ่นป้ายแล้วเสร็จ</t>
  </si>
  <si>
    <t>งานก่อสร้างตามจ่ายเงินสะสมประจำปีงบประมาณ 2567</t>
  </si>
  <si>
    <t>โกบอลเฮาส์อุดรธานี</t>
  </si>
  <si>
    <t>ราคาสีทารองพื้นกันสนิม</t>
  </si>
  <si>
    <t>บ./แกลลอน</t>
  </si>
  <si>
    <t>ราคาสีทาทับหน้า</t>
  </si>
  <si>
    <t>หจก.999ดวงดีตลอด</t>
  </si>
  <si>
    <t>หจก.99คอนสตรั่คชั่น</t>
  </si>
  <si>
    <t>หจก.โอภาชาติการโยธา</t>
  </si>
  <si>
    <t>ค่าขนส่ง(47กม.)</t>
  </si>
  <si>
    <t>ไทวัสดุหนองคาย</t>
  </si>
  <si>
    <t>โฮมโปรอุดรธานี</t>
  </si>
  <si>
    <t>Lazada</t>
  </si>
  <si>
    <t>ราคาหัสลูกศรเหล็ก ขนาด 1/2 นิ้ว</t>
  </si>
  <si>
    <t>ข้าพเจ้าในฐานะคณะกรรมการคณะกรรมการกำหนดราคากลางตามคำสั่งเลขที่ 492/2565 ลงวันที่  22 เดือนพฤศจิกายน พ.ศ. 2565  ได้สืบราคาเมื่อวันที่  29 เดือนพฤศจิกายน  พ.ศ. 2565</t>
  </si>
  <si>
    <t xml:space="preserve">        ลงชื่อ……......…………………………กรรการฯ</t>
  </si>
  <si>
    <t>เพิ่มใหม่ 7 ท่อน ยาว 1.05 + 0.27 เมตร</t>
  </si>
  <si>
    <t>รวม นน.</t>
  </si>
  <si>
    <t>เหล็กกล่องขนาด 3/4" x 3/4" หนา 1.20 ม</t>
  </si>
  <si>
    <t>ราคาน้ำมันโซล่า 30.00-33.99 บาท/ลิตร</t>
  </si>
  <si>
    <t>ลงชื่อ...................................................ประธานกรรมการ</t>
  </si>
  <si>
    <t xml:space="preserve">           (นายประดิษฐ์  มูลราช )</t>
  </si>
  <si>
    <t xml:space="preserve">               (นายอานัณย์  หนูทอง)</t>
  </si>
  <si>
    <t>ลงชื่อ........................................................กรมรการ</t>
  </si>
  <si>
    <t xml:space="preserve">                 ผู้ช่วยนายช่างโยธา</t>
  </si>
  <si>
    <t xml:space="preserve">                 ผู้ช่วยช่างไฟฟ้า</t>
  </si>
  <si>
    <t xml:space="preserve">              (นายกิติศักดิ์  สิงห์สัตย์)</t>
  </si>
  <si>
    <t xml:space="preserve">  7.1 ท่อเหล็กอาบสังกะสี 6 ม. dia 3"</t>
  </si>
  <si>
    <t xml:space="preserve">  7.2 ท่อเหล็กอาบสังกะสี 6 ม. dia 2 1/2"</t>
  </si>
  <si>
    <t xml:space="preserve">  7.3 ท่อเหล็กอาบสังกะสี 6 ม. dia 2"</t>
  </si>
  <si>
    <t xml:space="preserve">  7.4 ท่อเหล็กอาบสังกะสี 6 ม. dia 1 1/4"</t>
  </si>
  <si>
    <t xml:space="preserve">  7.5 ท่อเหล็กอาบสังกะสี6 ม. dia 3/4"</t>
  </si>
  <si>
    <t xml:space="preserve">   - ข้อต่อสามทาง ขนาด 2'' </t>
  </si>
  <si>
    <t xml:space="preserve">     - ข้อต่อตรง  ขนาด 2'' </t>
  </si>
  <si>
    <t xml:space="preserve">  12.3 แร็คพร้อมอุปกรณ์การติดตั้ง</t>
  </si>
  <si>
    <t xml:space="preserve">  6.5 แผ่นเพลท 250x250x15 mm</t>
  </si>
  <si>
    <t xml:space="preserve">          ประเภท BS-M ยาว 6 เมตร ศก. 3 นิ้ว</t>
  </si>
  <si>
    <t xml:space="preserve"> 2.1.2 ตัวโคมไฟโซลาร์เซลล์ LED 1000 w</t>
  </si>
  <si>
    <t xml:space="preserve">   1.1 ค่าติดตั้งหอถังสูง</t>
  </si>
  <si>
    <t>12.5 ตู้ไซร์ + หลังคา (เบอร์ 3)</t>
  </si>
  <si>
    <t xml:space="preserve">แบบ ปร.4(ก) แผ่นที่ 4/4 </t>
  </si>
  <si>
    <t xml:space="preserve">แบบ ปร.4(ก) แผ่นที่ 3/4 </t>
  </si>
  <si>
    <t xml:space="preserve">แบบ ปร.4(ก) แผ่นที่ 2/4 </t>
  </si>
  <si>
    <t xml:space="preserve">แบบ ปร.4(ก) แผ่นที่ 1/4 </t>
  </si>
  <si>
    <t>แบบ ปร. 5</t>
  </si>
  <si>
    <t>และติดตั้งถังไฟเบอร์กล๊าส ขนาด 2.50 ลบ.ม. จำนวน 4 ถัง พร้อมติดตั้งระบบไฟฟ้า ก่อสร้างไฟฟ้าส่องส่ว่างระบบโซล่าเซลล์จำนวน 10 ต้น</t>
  </si>
  <si>
    <t xml:space="preserve">  1   เดือน เมษายน พ.ศ.2568</t>
  </si>
  <si>
    <t xml:space="preserve">ประมาณราคาวันที่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</si>
</sst>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0.000"/>
    <numFmt numFmtId="165" formatCode="_-* #,##0.0000_-;\-* #,##0.0000_-;_-* &quot;-&quot;??_-;_-@_-"/>
    <numFmt numFmtId="166" formatCode="_-* #,##0.00_-;\-* #,##0.00_-;_-* &quot;-&quot;????_-;_-@_-"/>
    <numFmt numFmtId="167" formatCode="_(* #,##0.00_);_(* \(#,##0.00\);_(* &quot;-&quot;??_);_(@_)"/>
    <numFmt numFmtId="168" formatCode="0.0000"/>
    <numFmt numFmtId="169" formatCode="_-* #,##0.000_-;\-* #,##0.000_-;_-* &quot;-&quot;??_-;_-@_-"/>
    <numFmt numFmtId="170" formatCode="_-* #,##0.00000_-;\-* #,##0.00000_-;_-* &quot;-&quot;??_-;_-@_-"/>
    <numFmt numFmtId="171" formatCode="_-* #,##0.000000_-;\-* #,##0.000000_-;_-* &quot;-&quot;??_-;_-@_-"/>
    <numFmt numFmtId="172" formatCode="_-* #,##0.0000000_-;\-* #,##0.0000000_-;_-* &quot;-&quot;??_-;_-@_-"/>
    <numFmt numFmtId="173" formatCode="_-* #,##0_-;\-* #,##0_-;_-* &quot;-&quot;??_-;_-@_-"/>
    <numFmt numFmtId="174" formatCode="#,##0.00_ ;\-#,##0.00\ "/>
    <numFmt numFmtId="175" formatCode="d\ ดดด\ bb"/>
    <numFmt numFmtId="176" formatCode="0.0"/>
  </numFmts>
  <fonts count="168">
    <font>
      <sz val="11"/>
      <color theme="1"/>
      <name val="Calibri"/>
      <charset val="222"/>
      <scheme val="minor"/>
    </font>
    <font>
      <sz val="16"/>
      <color theme="1"/>
      <name val="TH SarabunPSK"/>
      <charset val="222"/>
    </font>
    <font>
      <b/>
      <sz val="16"/>
      <color theme="1"/>
      <name val="TH SarabunPSK"/>
      <charset val="222"/>
    </font>
    <font>
      <b/>
      <sz val="16"/>
      <color rgb="FFFF0000"/>
      <name val="TH SarabunPSK"/>
      <charset val="222"/>
    </font>
    <font>
      <b/>
      <sz val="18"/>
      <color theme="1"/>
      <name val="TH SarabunPSK"/>
      <charset val="222"/>
    </font>
    <font>
      <sz val="14"/>
      <name val="TH SarabunPSK"/>
      <charset val="134"/>
    </font>
    <font>
      <b/>
      <sz val="16"/>
      <name val="TH SarabunPSK"/>
      <charset val="222"/>
    </font>
    <font>
      <b/>
      <sz val="14"/>
      <name val="TH SarabunPSK"/>
      <charset val="134"/>
    </font>
    <font>
      <b/>
      <sz val="14"/>
      <color theme="1"/>
      <name val="TH SarabunPSK"/>
      <charset val="222"/>
    </font>
    <font>
      <sz val="16"/>
      <name val="TH SarabunPSK"/>
      <charset val="222"/>
    </font>
    <font>
      <sz val="16"/>
      <color rgb="FFFF0000"/>
      <name val="TH SarabunPSK"/>
      <charset val="222"/>
    </font>
    <font>
      <b/>
      <sz val="14"/>
      <name val="TH SarabunPSK"/>
      <charset val="222"/>
    </font>
    <font>
      <sz val="14"/>
      <name val="TH SarabunPSK"/>
      <charset val="222"/>
    </font>
    <font>
      <b/>
      <sz val="14"/>
      <color rgb="FFFF0000"/>
      <name val="TH SarabunPSK"/>
      <charset val="222"/>
    </font>
    <font>
      <sz val="12"/>
      <name val="TH SarabunPSK"/>
      <charset val="134"/>
    </font>
    <font>
      <b/>
      <sz val="18"/>
      <name val="TH SarabunPSK"/>
      <charset val="134"/>
    </font>
    <font>
      <b/>
      <sz val="16"/>
      <name val="TH SarabunPSK"/>
      <charset val="134"/>
    </font>
    <font>
      <b/>
      <sz val="14"/>
      <name val="Angsana New"/>
      <charset val="134"/>
    </font>
    <font>
      <b/>
      <sz val="14"/>
      <color rgb="FFFF0000"/>
      <name val="TH SarabunPSK"/>
      <charset val="134"/>
    </font>
    <font>
      <b/>
      <sz val="12"/>
      <name val="TH SarabunPSK"/>
      <charset val="134"/>
    </font>
    <font>
      <b/>
      <sz val="14"/>
      <color rgb="FF00B050"/>
      <name val="TH SarabunPSK"/>
      <charset val="134"/>
    </font>
    <font>
      <b/>
      <sz val="14"/>
      <color rgb="FF0070C0"/>
      <name val="TH SarabunPSK"/>
      <charset val="134"/>
    </font>
    <font>
      <b/>
      <sz val="14"/>
      <color rgb="FF000000"/>
      <name val="TH SarabunPSK"/>
      <charset val="222"/>
    </font>
    <font>
      <b/>
      <sz val="12"/>
      <color rgb="FF00B050"/>
      <name val="TH SarabunPSK"/>
      <charset val="134"/>
    </font>
    <font>
      <b/>
      <sz val="12"/>
      <color rgb="FF0070C0"/>
      <name val="TH SarabunPSK"/>
      <charset val="134"/>
    </font>
    <font>
      <sz val="14"/>
      <name val="Cordia New"/>
      <charset val="222"/>
    </font>
    <font>
      <sz val="14"/>
      <name val="DilleniaUPC"/>
      <charset val="134"/>
    </font>
    <font>
      <sz val="15"/>
      <name val="Browallia New"/>
      <charset val="222"/>
    </font>
    <font>
      <b/>
      <sz val="24"/>
      <color indexed="10"/>
      <name val="IrisUPC"/>
      <charset val="222"/>
    </font>
    <font>
      <b/>
      <sz val="15"/>
      <name val="IrisUPC"/>
      <charset val="222"/>
    </font>
    <font>
      <b/>
      <sz val="14"/>
      <name val="AngsanaUPC"/>
      <charset val="222"/>
    </font>
    <font>
      <sz val="14"/>
      <name val="AngsanaUPC"/>
      <charset val="222"/>
    </font>
    <font>
      <b/>
      <sz val="12"/>
      <name val="AngsanaUPC"/>
      <charset val="222"/>
    </font>
    <font>
      <sz val="12"/>
      <name val="AngsanaUPC"/>
      <charset val="222"/>
    </font>
    <font>
      <b/>
      <sz val="15"/>
      <name val="AngsanaUPC"/>
      <charset val="222"/>
    </font>
    <font>
      <sz val="14"/>
      <color indexed="12"/>
      <name val="AngsanaUPC"/>
      <charset val="222"/>
    </font>
    <font>
      <sz val="14"/>
      <color theme="1"/>
      <name val="TH Sarabun New"/>
      <charset val="222"/>
    </font>
    <font>
      <sz val="14"/>
      <name val="TH Sarabun New"/>
      <charset val="222"/>
    </font>
    <font>
      <sz val="12"/>
      <color theme="1"/>
      <name val="TH Sarabun New"/>
      <charset val="222"/>
    </font>
    <font>
      <sz val="12"/>
      <color theme="1"/>
      <name val="TH Sarabun New"/>
    </font>
    <font>
      <sz val="12"/>
      <name val="TH Sarabun New"/>
      <charset val="222"/>
    </font>
    <font>
      <sz val="14"/>
      <color rgb="FF0070C0"/>
      <name val="TH Sarabun New"/>
      <charset val="222"/>
    </font>
    <font>
      <b/>
      <sz val="14"/>
      <color rgb="FFFF0000"/>
      <name val="TH Sarabun New"/>
      <charset val="222"/>
    </font>
    <font>
      <b/>
      <sz val="14"/>
      <name val="TH Sarabun New"/>
      <charset val="222"/>
    </font>
    <font>
      <sz val="10"/>
      <color theme="1"/>
      <name val="TH Sarabun New"/>
      <charset val="222"/>
    </font>
    <font>
      <b/>
      <sz val="14"/>
      <color rgb="FFFF0000"/>
      <name val="Cordia New"/>
      <charset val="222"/>
    </font>
    <font>
      <sz val="8"/>
      <color rgb="FF000000"/>
      <name val="MS Sans Serif"/>
      <charset val="222"/>
    </font>
    <font>
      <sz val="14"/>
      <name val="TH SarabunPSK"/>
    </font>
    <font>
      <sz val="13"/>
      <name val="TH SarabunPSK"/>
    </font>
    <font>
      <sz val="14"/>
      <name val="Cordia New"/>
    </font>
    <font>
      <b/>
      <sz val="14"/>
      <color indexed="10"/>
      <name val="TH SarabunPSK"/>
      <charset val="222"/>
    </font>
    <font>
      <b/>
      <sz val="14"/>
      <color indexed="12"/>
      <name val="TH SarabunPSK"/>
      <charset val="222"/>
    </font>
    <font>
      <b/>
      <sz val="13"/>
      <name val="TH SarabunPSK"/>
      <charset val="222"/>
    </font>
    <font>
      <sz val="13"/>
      <color indexed="12"/>
      <name val="TH SarabunPSK"/>
    </font>
    <font>
      <sz val="13"/>
      <name val="TH SarabunPSK"/>
      <charset val="222"/>
    </font>
    <font>
      <sz val="13"/>
      <color theme="1"/>
      <name val="TH SarabunPSK"/>
    </font>
    <font>
      <sz val="13"/>
      <color rgb="FF0070C0"/>
      <name val="TH SarabunPSK"/>
    </font>
    <font>
      <b/>
      <sz val="13"/>
      <color rgb="FFFF0000"/>
      <name val="TH SarabunPSK"/>
    </font>
    <font>
      <b/>
      <sz val="13"/>
      <name val="TH SarabunPSK"/>
    </font>
    <font>
      <b/>
      <sz val="14"/>
      <name val="TH SarabunPSK"/>
    </font>
    <font>
      <b/>
      <sz val="18"/>
      <name val="TH SarabunPSK"/>
    </font>
    <font>
      <b/>
      <sz val="16"/>
      <name val="TH SarabunPSK"/>
    </font>
    <font>
      <b/>
      <sz val="14"/>
      <name val="Angsana New"/>
    </font>
    <font>
      <b/>
      <sz val="14"/>
      <color rgb="FFFF0000"/>
      <name val="TH SarabunPSK"/>
    </font>
    <font>
      <b/>
      <sz val="14"/>
      <color rgb="FF00B050"/>
      <name val="TH SarabunPSK"/>
    </font>
    <font>
      <b/>
      <sz val="14"/>
      <color rgb="FF0070C0"/>
      <name val="TH SarabunPSK"/>
    </font>
    <font>
      <b/>
      <sz val="12"/>
      <color indexed="12"/>
      <name val="AngsanaUPC"/>
      <charset val="222"/>
    </font>
    <font>
      <sz val="13"/>
      <color theme="1"/>
      <name val="TH Sarabun New"/>
      <charset val="222"/>
    </font>
    <font>
      <sz val="12"/>
      <color rgb="FF000000"/>
      <name val="TH SarabunPSK"/>
      <charset val="222"/>
    </font>
    <font>
      <sz val="12"/>
      <name val="Cordia New"/>
      <charset val="222"/>
    </font>
    <font>
      <sz val="11"/>
      <color theme="1"/>
      <name val="TH Sarabun New"/>
      <charset val="222"/>
    </font>
    <font>
      <sz val="16"/>
      <color rgb="FFFF0000"/>
      <name val="Cordia New"/>
      <charset val="222"/>
    </font>
    <font>
      <sz val="15"/>
      <name val="Browallia New"/>
    </font>
    <font>
      <sz val="14"/>
      <name val="AngsanaUPC"/>
    </font>
    <font>
      <sz val="14"/>
      <color indexed="12"/>
      <name val="AngsanaUPC"/>
    </font>
    <font>
      <b/>
      <sz val="14"/>
      <name val="AngsanaUPC"/>
    </font>
    <font>
      <sz val="14"/>
      <color theme="1"/>
      <name val="TH Sarabun New"/>
    </font>
    <font>
      <sz val="14"/>
      <name val="TH Sarabun New"/>
    </font>
    <font>
      <sz val="14"/>
      <color rgb="FF0070C0"/>
      <name val="TH Sarabun New"/>
    </font>
    <font>
      <sz val="12"/>
      <name val="TH Sarabun New"/>
    </font>
    <font>
      <b/>
      <sz val="14"/>
      <color rgb="FFFF0000"/>
      <name val="TH Sarabun New"/>
    </font>
    <font>
      <b/>
      <sz val="14"/>
      <name val="TH Sarabun New"/>
    </font>
    <font>
      <sz val="10"/>
      <color theme="1"/>
      <name val="TH Sarabun New"/>
    </font>
    <font>
      <sz val="16"/>
      <color theme="1"/>
      <name val="TH SarabunPSK"/>
    </font>
    <font>
      <b/>
      <u/>
      <sz val="16"/>
      <name val="TH SarabunPSK"/>
      <charset val="134"/>
    </font>
    <font>
      <u/>
      <sz val="14"/>
      <name val="TH SarabunPSK"/>
      <charset val="134"/>
    </font>
    <font>
      <sz val="14"/>
      <color rgb="FFFF0000"/>
      <name val="TH SarabunPSK"/>
      <charset val="134"/>
    </font>
    <font>
      <sz val="14"/>
      <color indexed="12"/>
      <name val="TH SarabunPSK"/>
      <charset val="134"/>
    </font>
    <font>
      <sz val="14"/>
      <name val="CordiaUPC"/>
      <charset val="222"/>
    </font>
    <font>
      <b/>
      <sz val="14"/>
      <name val="CordiaUPC"/>
      <charset val="222"/>
    </font>
    <font>
      <b/>
      <i/>
      <sz val="14"/>
      <name val="CordiaUPC"/>
      <charset val="222"/>
    </font>
    <font>
      <b/>
      <sz val="12"/>
      <name val="CordiaUPC"/>
      <charset val="222"/>
    </font>
    <font>
      <b/>
      <u/>
      <sz val="14"/>
      <name val="CordiaUPC"/>
      <charset val="222"/>
    </font>
    <font>
      <u/>
      <sz val="14"/>
      <name val="CordiaUPC"/>
      <charset val="222"/>
    </font>
    <font>
      <i/>
      <sz val="14"/>
      <name val="CordiaUPC"/>
      <charset val="222"/>
    </font>
    <font>
      <sz val="11"/>
      <color theme="1"/>
      <name val="Angsana New"/>
      <charset val="134"/>
    </font>
    <font>
      <sz val="13"/>
      <name val="TH SarabunPSK"/>
      <charset val="134"/>
    </font>
    <font>
      <b/>
      <sz val="13"/>
      <color theme="1"/>
      <name val="TH SarabunPSK"/>
      <charset val="134"/>
    </font>
    <font>
      <sz val="13"/>
      <color theme="1"/>
      <name val="TH SarabunPSK"/>
      <charset val="134"/>
    </font>
    <font>
      <b/>
      <sz val="13"/>
      <name val="TH SarabunPSK"/>
      <charset val="134"/>
    </font>
    <font>
      <b/>
      <sz val="13"/>
      <color indexed="12"/>
      <name val="TH SarabunPSK"/>
      <charset val="134"/>
    </font>
    <font>
      <b/>
      <sz val="13"/>
      <color indexed="10"/>
      <name val="TH SarabunPSK"/>
      <charset val="134"/>
    </font>
    <font>
      <sz val="13"/>
      <color indexed="10"/>
      <name val="TH SarabunPSK"/>
      <charset val="134"/>
    </font>
    <font>
      <b/>
      <sz val="13"/>
      <color rgb="FFFF0000"/>
      <name val="TH SarabunPSK"/>
      <charset val="134"/>
    </font>
    <font>
      <sz val="13"/>
      <color theme="0"/>
      <name val="TH SarabunPSK"/>
      <charset val="134"/>
    </font>
    <font>
      <sz val="14"/>
      <color rgb="FFFF0000"/>
      <name val="TH Sarabun New"/>
      <charset val="134"/>
    </font>
    <font>
      <sz val="12"/>
      <color rgb="FFFF0000"/>
      <name val="TH Sarabun New"/>
      <charset val="134"/>
    </font>
    <font>
      <sz val="14"/>
      <color theme="1"/>
      <name val="TH SarabunPSK"/>
      <charset val="222"/>
    </font>
    <font>
      <sz val="12"/>
      <name val="TH Sarabun New"/>
      <charset val="134"/>
    </font>
    <font>
      <sz val="11"/>
      <color rgb="FFFF0000"/>
      <name val="Calibri"/>
      <charset val="222"/>
      <scheme val="minor"/>
    </font>
    <font>
      <b/>
      <u/>
      <sz val="14"/>
      <name val="TH SarabunPSK"/>
      <charset val="134"/>
    </font>
    <font>
      <sz val="14"/>
      <color rgb="FFFF0000"/>
      <name val="TH SarabunPSK"/>
      <charset val="222"/>
    </font>
    <font>
      <sz val="14"/>
      <color rgb="FF000000"/>
      <name val="TH SarabunPSK"/>
      <charset val="222"/>
    </font>
    <font>
      <u/>
      <sz val="14"/>
      <name val="TH SarabunPSK"/>
      <charset val="222"/>
    </font>
    <font>
      <sz val="12"/>
      <color rgb="FFFF0000"/>
      <name val="TH SarabunPSK"/>
      <charset val="134"/>
    </font>
    <font>
      <b/>
      <sz val="12"/>
      <color rgb="FFFF0000"/>
      <name val="TH SarabunPSK"/>
      <charset val="134"/>
    </font>
    <font>
      <b/>
      <sz val="16"/>
      <color rgb="FFFF0000"/>
      <name val="TH SarabunPSK"/>
      <charset val="134"/>
    </font>
    <font>
      <sz val="16"/>
      <name val="TH Sarabun New"/>
      <charset val="134"/>
    </font>
    <font>
      <sz val="14"/>
      <name val="TH Sarabun New"/>
      <charset val="134"/>
    </font>
    <font>
      <sz val="16"/>
      <color rgb="FF040C28"/>
      <name val="TH SarabunPSK"/>
      <charset val="222"/>
    </font>
    <font>
      <sz val="16"/>
      <name val="TH SarabunPSK"/>
      <charset val="134"/>
    </font>
    <font>
      <sz val="12"/>
      <color theme="1"/>
      <name val="Angsana New"/>
      <charset val="134"/>
    </font>
    <font>
      <b/>
      <sz val="12"/>
      <name val="Angsana New"/>
      <charset val="134"/>
    </font>
    <font>
      <sz val="12"/>
      <name val="Angsana New"/>
      <charset val="134"/>
    </font>
    <font>
      <b/>
      <sz val="12"/>
      <name val="TH Sarabun New"/>
      <charset val="134"/>
    </font>
    <font>
      <sz val="18"/>
      <color theme="1"/>
      <name val="Calibri"/>
      <charset val="222"/>
      <scheme val="minor"/>
    </font>
    <font>
      <sz val="16"/>
      <color theme="1"/>
      <name val="Calibri"/>
      <charset val="222"/>
      <scheme val="minor"/>
    </font>
    <font>
      <b/>
      <sz val="16"/>
      <name val="Angsana New"/>
      <charset val="134"/>
    </font>
    <font>
      <sz val="18"/>
      <name val="TH SarabunPSK"/>
      <charset val="134"/>
    </font>
    <font>
      <b/>
      <sz val="16"/>
      <color rgb="FF00B050"/>
      <name val="TH SarabunPSK"/>
      <charset val="134"/>
    </font>
    <font>
      <b/>
      <sz val="16"/>
      <color rgb="FF0070C0"/>
      <name val="TH SarabunPSK"/>
      <charset val="134"/>
    </font>
    <font>
      <sz val="14"/>
      <color rgb="FF00B050"/>
      <name val="TH SarabunPSK"/>
      <charset val="134"/>
    </font>
    <font>
      <sz val="14"/>
      <color rgb="FF00CC00"/>
      <name val="TH SarabunPSK"/>
      <charset val="134"/>
    </font>
    <font>
      <sz val="14"/>
      <color rgb="FF00B0F0"/>
      <name val="TH SarabunPSK"/>
      <charset val="134"/>
    </font>
    <font>
      <sz val="14"/>
      <color theme="9" tint="-0.249977111117893"/>
      <name val="TH SarabunPSK"/>
      <charset val="134"/>
    </font>
    <font>
      <sz val="15"/>
      <name val="TH SarabunPSK"/>
      <charset val="134"/>
    </font>
    <font>
      <sz val="10"/>
      <name val="Arial"/>
      <charset val="134"/>
    </font>
    <font>
      <sz val="14"/>
      <name val="Cordia New"/>
      <charset val="134"/>
    </font>
    <font>
      <sz val="15"/>
      <name val="Angsana New"/>
      <charset val="134"/>
    </font>
    <font>
      <sz val="16"/>
      <name val="Angsana New"/>
      <charset val="134"/>
    </font>
    <font>
      <b/>
      <i/>
      <vertAlign val="superscript"/>
      <sz val="14"/>
      <name val="CordiaUPC"/>
      <charset val="222"/>
    </font>
    <font>
      <sz val="8"/>
      <name val="Tahoma"/>
      <charset val="134"/>
    </font>
    <font>
      <b/>
      <sz val="8"/>
      <name val="Tahoma"/>
      <charset val="134"/>
    </font>
    <font>
      <sz val="11"/>
      <color theme="1"/>
      <name val="Calibri"/>
      <charset val="222"/>
      <scheme val="minor"/>
    </font>
    <font>
      <b/>
      <sz val="14"/>
      <color indexed="10"/>
      <name val="IrisUPC"/>
      <family val="2"/>
      <charset val="222"/>
    </font>
    <font>
      <sz val="14"/>
      <name val="Cordia New"/>
      <family val="2"/>
      <charset val="222"/>
    </font>
    <font>
      <b/>
      <sz val="14"/>
      <name val="IrisUPC"/>
      <family val="2"/>
      <charset val="22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4"/>
      <color indexed="12"/>
      <name val="AngsanaUPC"/>
      <family val="1"/>
      <charset val="222"/>
    </font>
    <font>
      <sz val="14"/>
      <color theme="1"/>
      <name val="TH Sarabun New"/>
      <family val="2"/>
      <charset val="222"/>
    </font>
    <font>
      <sz val="14"/>
      <name val="TH Sarabun New"/>
      <family val="2"/>
      <charset val="222"/>
    </font>
    <font>
      <sz val="14"/>
      <color theme="1"/>
      <name val="TH SarabunPSK"/>
      <family val="2"/>
      <charset val="222"/>
    </font>
    <font>
      <sz val="14"/>
      <color rgb="FF0070C0"/>
      <name val="TH Sarabun New"/>
      <family val="2"/>
      <charset val="222"/>
    </font>
    <font>
      <b/>
      <sz val="14"/>
      <color rgb="FFFF0000"/>
      <name val="TH Sarabun New"/>
      <family val="2"/>
      <charset val="222"/>
    </font>
    <font>
      <b/>
      <sz val="14"/>
      <name val="TH Sarabun New"/>
      <family val="2"/>
      <charset val="222"/>
    </font>
    <font>
      <b/>
      <sz val="14"/>
      <color indexed="12"/>
      <name val="AngsanaUPC"/>
      <family val="1"/>
      <charset val="222"/>
    </font>
    <font>
      <sz val="14"/>
      <color rgb="FF000000"/>
      <name val="TH SarabunPSK"/>
      <family val="2"/>
      <charset val="222"/>
    </font>
    <font>
      <sz val="14"/>
      <color theme="1"/>
      <name val="TH SarabunPSK"/>
      <family val="2"/>
    </font>
    <font>
      <b/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4"/>
      <color theme="1"/>
      <name val="Calibri"/>
      <family val="2"/>
      <scheme val="minor"/>
    </font>
    <font>
      <b/>
      <sz val="14"/>
      <color rgb="FF0070C0"/>
      <name val="TH SarabunPSK"/>
      <family val="2"/>
    </font>
    <font>
      <sz val="14"/>
      <color rgb="FF0070C0"/>
      <name val="TH SarabunPSK"/>
      <family val="2"/>
    </font>
    <font>
      <sz val="14"/>
      <color rgb="FFFF0000"/>
      <name val="TH SarabunPSK"/>
      <family val="2"/>
    </font>
    <font>
      <b/>
      <sz val="14"/>
      <name val="TH SarabunPSK"/>
      <family val="2"/>
    </font>
    <font>
      <sz val="14"/>
      <name val="TH Sarabun New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EFEFE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rgb="FFFEF1E6"/>
        <bgColor indexed="64"/>
      </patternFill>
    </fill>
  </fills>
  <borders count="1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</borders>
  <cellStyleXfs count="22">
    <xf numFmtId="0" fontId="0" fillId="0" borderId="0"/>
    <xf numFmtId="43" fontId="143" fillId="0" borderId="0" applyFont="0" applyFill="0" applyBorder="0" applyAlignment="0" applyProtection="0"/>
    <xf numFmtId="0" fontId="136" fillId="0" borderId="0"/>
    <xf numFmtId="0" fontId="137" fillId="0" borderId="0"/>
    <xf numFmtId="0" fontId="137" fillId="0" borderId="0"/>
    <xf numFmtId="4" fontId="137" fillId="0" borderId="0"/>
    <xf numFmtId="0" fontId="138" fillId="0" borderId="0"/>
    <xf numFmtId="0" fontId="136" fillId="0" borderId="0"/>
    <xf numFmtId="43" fontId="138" fillId="0" borderId="0" applyFont="0" applyFill="0" applyBorder="0" applyAlignment="0" applyProtection="0"/>
    <xf numFmtId="0" fontId="137" fillId="0" borderId="0"/>
    <xf numFmtId="43" fontId="138" fillId="0" borderId="0" applyFont="0" applyFill="0" applyBorder="0" applyAlignment="0" applyProtection="0"/>
    <xf numFmtId="43" fontId="137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49" fillId="0" borderId="0"/>
    <xf numFmtId="0" fontId="138" fillId="0" borderId="0"/>
    <xf numFmtId="0" fontId="88" fillId="0" borderId="0"/>
    <xf numFmtId="0" fontId="31" fillId="0" borderId="0"/>
    <xf numFmtId="0" fontId="31" fillId="0" borderId="0"/>
    <xf numFmtId="43" fontId="139" fillId="0" borderId="0" applyFont="0" applyFill="0" applyBorder="0" applyAlignment="0" applyProtection="0"/>
    <xf numFmtId="0" fontId="25" fillId="0" borderId="0"/>
    <xf numFmtId="0" fontId="25" fillId="0" borderId="0"/>
  </cellStyleXfs>
  <cellXfs count="216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3" fontId="3" fillId="0" borderId="0" xfId="1" applyFont="1" applyAlignment="1">
      <alignment vertical="center"/>
    </xf>
    <xf numFmtId="43" fontId="1" fillId="0" borderId="0" xfId="1" applyFont="1" applyAlignment="1">
      <alignment vertical="center"/>
    </xf>
    <xf numFmtId="43" fontId="2" fillId="0" borderId="4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43" fontId="1" fillId="0" borderId="12" xfId="1" applyFont="1" applyBorder="1" applyAlignment="1">
      <alignment vertical="center"/>
    </xf>
    <xf numFmtId="43" fontId="1" fillId="0" borderId="13" xfId="1" applyFont="1" applyBorder="1" applyAlignment="1">
      <alignment horizontal="center" vertical="center"/>
    </xf>
    <xf numFmtId="43" fontId="1" fillId="0" borderId="13" xfId="1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43" fontId="1" fillId="0" borderId="17" xfId="1" applyFont="1" applyBorder="1" applyAlignment="1">
      <alignment horizontal="center" vertical="center"/>
    </xf>
    <xf numFmtId="43" fontId="1" fillId="0" borderId="17" xfId="1" applyFont="1" applyBorder="1" applyAlignment="1">
      <alignment vertical="center"/>
    </xf>
    <xf numFmtId="43" fontId="2" fillId="0" borderId="16" xfId="1" applyFont="1" applyBorder="1" applyAlignment="1">
      <alignment vertical="center"/>
    </xf>
    <xf numFmtId="43" fontId="2" fillId="0" borderId="15" xfId="1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43" fontId="1" fillId="0" borderId="18" xfId="1" applyFont="1" applyBorder="1" applyAlignment="1">
      <alignment vertical="center"/>
    </xf>
    <xf numFmtId="43" fontId="1" fillId="0" borderId="0" xfId="0" applyNumberFormat="1" applyFont="1" applyAlignment="1">
      <alignment vertical="center"/>
    </xf>
    <xf numFmtId="43" fontId="1" fillId="0" borderId="16" xfId="1" applyFont="1" applyBorder="1" applyAlignment="1">
      <alignment vertical="center"/>
    </xf>
    <xf numFmtId="43" fontId="2" fillId="0" borderId="15" xfId="1" applyFont="1" applyBorder="1" applyAlignment="1">
      <alignment horizontal="right" vertical="center"/>
    </xf>
    <xf numFmtId="43" fontId="2" fillId="0" borderId="19" xfId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4" xfId="0" applyFont="1" applyBorder="1" applyAlignment="1">
      <alignment horizontal="center"/>
    </xf>
    <xf numFmtId="0" fontId="0" fillId="0" borderId="14" xfId="0" applyBorder="1"/>
    <xf numFmtId="0" fontId="0" fillId="0" borderId="21" xfId="0" applyBorder="1"/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43" fontId="2" fillId="0" borderId="24" xfId="1" applyFont="1" applyBorder="1" applyAlignment="1">
      <alignment horizontal="right" vertical="center"/>
    </xf>
    <xf numFmtId="43" fontId="2" fillId="0" borderId="9" xfId="1" applyFont="1" applyBorder="1" applyAlignment="1">
      <alignment vertical="center"/>
    </xf>
    <xf numFmtId="43" fontId="2" fillId="0" borderId="24" xfId="1" applyFont="1" applyBorder="1" applyAlignment="1">
      <alignment vertical="center"/>
    </xf>
    <xf numFmtId="43" fontId="1" fillId="0" borderId="24" xfId="1" applyFont="1" applyBorder="1" applyAlignment="1">
      <alignment vertical="center"/>
    </xf>
    <xf numFmtId="43" fontId="2" fillId="0" borderId="0" xfId="1" applyFont="1" applyAlignment="1">
      <alignment horizontal="right" vertical="center"/>
    </xf>
    <xf numFmtId="43" fontId="2" fillId="0" borderId="0" xfId="1" applyFont="1" applyAlignment="1">
      <alignment vertical="center"/>
    </xf>
    <xf numFmtId="0" fontId="2" fillId="0" borderId="25" xfId="0" applyFont="1" applyBorder="1" applyAlignment="1">
      <alignment horizontal="center" vertical="center"/>
    </xf>
    <xf numFmtId="43" fontId="2" fillId="0" borderId="26" xfId="1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43" fontId="1" fillId="0" borderId="17" xfId="0" applyNumberFormat="1" applyFont="1" applyBorder="1" applyAlignment="1">
      <alignment vertical="center"/>
    </xf>
    <xf numFmtId="43" fontId="1" fillId="0" borderId="31" xfId="0" applyNumberFormat="1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3" fontId="1" fillId="0" borderId="30" xfId="0" applyNumberFormat="1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3" fontId="2" fillId="0" borderId="22" xfId="1" applyFont="1" applyBorder="1" applyAlignment="1">
      <alignment horizontal="right" vertical="center"/>
    </xf>
    <xf numFmtId="43" fontId="2" fillId="0" borderId="35" xfId="1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43" fontId="1" fillId="0" borderId="36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43" fontId="2" fillId="0" borderId="13" xfId="1" applyFont="1" applyBorder="1" applyAlignment="1">
      <alignment horizontal="right" vertical="center"/>
    </xf>
    <xf numFmtId="43" fontId="2" fillId="0" borderId="37" xfId="1" applyFont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43" fontId="1" fillId="2" borderId="18" xfId="0" applyNumberFormat="1" applyFont="1" applyFill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43" fontId="1" fillId="0" borderId="18" xfId="0" applyNumberFormat="1" applyFont="1" applyBorder="1" applyAlignment="1">
      <alignment vertical="center"/>
    </xf>
    <xf numFmtId="43" fontId="2" fillId="0" borderId="17" xfId="0" applyNumberFormat="1" applyFont="1" applyBorder="1" applyAlignment="1">
      <alignment horizontal="center" vertical="center"/>
    </xf>
    <xf numFmtId="43" fontId="2" fillId="0" borderId="17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" fillId="0" borderId="39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2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left" vertical="center"/>
    </xf>
    <xf numFmtId="164" fontId="7" fillId="0" borderId="42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43" fontId="1" fillId="0" borderId="24" xfId="0" applyNumberFormat="1" applyFont="1" applyBorder="1" applyAlignment="1">
      <alignment vertical="center"/>
    </xf>
    <xf numFmtId="43" fontId="8" fillId="0" borderId="43" xfId="1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vertical="center"/>
    </xf>
    <xf numFmtId="43" fontId="1" fillId="0" borderId="31" xfId="1" applyFont="1" applyBorder="1" applyAlignment="1">
      <alignment vertical="center"/>
    </xf>
    <xf numFmtId="43" fontId="9" fillId="0" borderId="31" xfId="1" applyFont="1" applyBorder="1" applyAlignment="1">
      <alignment vertical="center"/>
    </xf>
    <xf numFmtId="43" fontId="1" fillId="0" borderId="36" xfId="1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0" fillId="0" borderId="47" xfId="0" applyFont="1" applyBorder="1" applyAlignment="1">
      <alignment horizontal="center" vertical="center"/>
    </xf>
    <xf numFmtId="43" fontId="2" fillId="0" borderId="0" xfId="0" applyNumberFormat="1" applyFont="1" applyAlignment="1">
      <alignment vertical="center"/>
    </xf>
    <xf numFmtId="43" fontId="8" fillId="0" borderId="0" xfId="0" applyNumberFormat="1" applyFont="1" applyAlignment="1">
      <alignment vertical="center"/>
    </xf>
    <xf numFmtId="0" fontId="1" fillId="0" borderId="48" xfId="0" applyFont="1" applyBorder="1" applyAlignment="1">
      <alignment vertical="center"/>
    </xf>
    <xf numFmtId="0" fontId="7" fillId="2" borderId="38" xfId="0" applyFont="1" applyFill="1" applyBorder="1" applyAlignment="1">
      <alignment horizontal="center" vertical="center"/>
    </xf>
    <xf numFmtId="0" fontId="11" fillId="2" borderId="49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5" fillId="2" borderId="0" xfId="0" applyFont="1" applyFill="1" applyAlignment="1">
      <alignment horizontal="center" vertical="center"/>
    </xf>
    <xf numFmtId="43" fontId="12" fillId="0" borderId="0" xfId="1" applyFont="1" applyFill="1" applyAlignment="1">
      <alignment horizontal="right"/>
    </xf>
    <xf numFmtId="43" fontId="12" fillId="0" borderId="0" xfId="0" applyNumberFormat="1" applyFont="1"/>
    <xf numFmtId="0" fontId="13" fillId="0" borderId="0" xfId="0" applyFont="1"/>
    <xf numFmtId="43" fontId="11" fillId="2" borderId="0" xfId="1" applyFont="1" applyFill="1" applyAlignment="1">
      <alignment horizontal="right"/>
    </xf>
    <xf numFmtId="0" fontId="6" fillId="2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43" fontId="0" fillId="0" borderId="19" xfId="0" applyNumberFormat="1" applyBorder="1" applyAlignment="1">
      <alignment vertical="center"/>
    </xf>
    <xf numFmtId="43" fontId="0" fillId="0" borderId="19" xfId="0" applyNumberFormat="1" applyBorder="1"/>
    <xf numFmtId="43" fontId="0" fillId="0" borderId="19" xfId="0" applyNumberFormat="1" applyBorder="1" applyAlignment="1">
      <alignment horizontal="right" vertical="center"/>
    </xf>
    <xf numFmtId="0" fontId="7" fillId="0" borderId="0" xfId="6" applyFont="1"/>
    <xf numFmtId="0" fontId="5" fillId="0" borderId="0" xfId="6" applyFont="1"/>
    <xf numFmtId="0" fontId="14" fillId="0" borderId="0" xfId="6" applyFont="1"/>
    <xf numFmtId="0" fontId="16" fillId="0" borderId="0" xfId="6" applyFont="1"/>
    <xf numFmtId="0" fontId="17" fillId="0" borderId="0" xfId="9" applyFont="1"/>
    <xf numFmtId="2" fontId="17" fillId="0" borderId="0" xfId="9" applyNumberFormat="1" applyFont="1"/>
    <xf numFmtId="0" fontId="7" fillId="0" borderId="50" xfId="7" applyFont="1" applyBorder="1" applyAlignment="1" applyProtection="1">
      <alignment horizontal="center" vertical="center"/>
      <protection hidden="1"/>
    </xf>
    <xf numFmtId="0" fontId="7" fillId="0" borderId="3" xfId="7" applyFont="1" applyBorder="1" applyAlignment="1" applyProtection="1">
      <alignment horizontal="center" vertical="center"/>
      <protection hidden="1"/>
    </xf>
    <xf numFmtId="0" fontId="7" fillId="0" borderId="4" xfId="7" applyFont="1" applyBorder="1" applyAlignment="1" applyProtection="1">
      <alignment horizontal="center"/>
      <protection hidden="1"/>
    </xf>
    <xf numFmtId="0" fontId="7" fillId="0" borderId="53" xfId="7" applyFont="1" applyBorder="1" applyAlignment="1" applyProtection="1">
      <alignment horizontal="center" vertical="center"/>
      <protection hidden="1"/>
    </xf>
    <xf numFmtId="0" fontId="7" fillId="0" borderId="54" xfId="7" applyFont="1" applyBorder="1" applyAlignment="1" applyProtection="1">
      <alignment horizontal="center" vertical="center"/>
      <protection hidden="1"/>
    </xf>
    <xf numFmtId="0" fontId="7" fillId="0" borderId="55" xfId="7" applyFont="1" applyBorder="1" applyAlignment="1" applyProtection="1">
      <alignment horizontal="center" vertical="center"/>
      <protection hidden="1"/>
    </xf>
    <xf numFmtId="0" fontId="7" fillId="0" borderId="56" xfId="7" applyFont="1" applyBorder="1" applyAlignment="1" applyProtection="1">
      <alignment horizontal="center" vertical="center"/>
      <protection hidden="1"/>
    </xf>
    <xf numFmtId="0" fontId="7" fillId="0" borderId="56" xfId="7" applyFont="1" applyBorder="1" applyAlignment="1" applyProtection="1">
      <alignment horizontal="center"/>
      <protection hidden="1"/>
    </xf>
    <xf numFmtId="0" fontId="7" fillId="3" borderId="25" xfId="2" applyFont="1" applyFill="1" applyBorder="1" applyAlignment="1" applyProtection="1">
      <alignment horizontal="center"/>
      <protection hidden="1"/>
    </xf>
    <xf numFmtId="0" fontId="7" fillId="0" borderId="26" xfId="0" applyFont="1" applyBorder="1" applyAlignment="1">
      <alignment horizontal="left" vertical="center"/>
    </xf>
    <xf numFmtId="0" fontId="7" fillId="3" borderId="57" xfId="3" applyFont="1" applyFill="1" applyBorder="1" applyProtection="1">
      <protection hidden="1"/>
    </xf>
    <xf numFmtId="0" fontId="7" fillId="3" borderId="27" xfId="3" applyFont="1" applyFill="1" applyBorder="1" applyProtection="1">
      <protection hidden="1"/>
    </xf>
    <xf numFmtId="0" fontId="7" fillId="3" borderId="20" xfId="7" applyFont="1" applyFill="1" applyBorder="1" applyAlignment="1" applyProtection="1">
      <alignment horizontal="center"/>
      <protection hidden="1"/>
    </xf>
    <xf numFmtId="43" fontId="18" fillId="0" borderId="20" xfId="1" applyFont="1" applyFill="1" applyBorder="1" applyAlignment="1" applyProtection="1"/>
    <xf numFmtId="43" fontId="18" fillId="0" borderId="26" xfId="1" applyFont="1" applyFill="1" applyBorder="1" applyAlignment="1" applyProtection="1"/>
    <xf numFmtId="0" fontId="7" fillId="3" borderId="14" xfId="2" applyFont="1" applyFill="1" applyBorder="1" applyAlignment="1" applyProtection="1">
      <alignment horizontal="center"/>
      <protection hidden="1"/>
    </xf>
    <xf numFmtId="0" fontId="7" fillId="0" borderId="15" xfId="0" applyFont="1" applyBorder="1" applyAlignment="1">
      <alignment horizontal="left" vertical="center"/>
    </xf>
    <xf numFmtId="0" fontId="7" fillId="3" borderId="39" xfId="3" applyFont="1" applyFill="1" applyBorder="1" applyProtection="1">
      <protection hidden="1"/>
    </xf>
    <xf numFmtId="0" fontId="7" fillId="3" borderId="16" xfId="3" applyFont="1" applyFill="1" applyBorder="1" applyProtection="1">
      <protection hidden="1"/>
    </xf>
    <xf numFmtId="0" fontId="7" fillId="3" borderId="17" xfId="7" applyFont="1" applyFill="1" applyBorder="1" applyAlignment="1" applyProtection="1">
      <alignment horizontal="center"/>
      <protection hidden="1"/>
    </xf>
    <xf numFmtId="43" fontId="18" fillId="0" borderId="17" xfId="1" applyFont="1" applyFill="1" applyBorder="1" applyAlignment="1" applyProtection="1"/>
    <xf numFmtId="43" fontId="18" fillId="0" borderId="15" xfId="1" applyFont="1" applyFill="1" applyBorder="1" applyAlignment="1" applyProtection="1"/>
    <xf numFmtId="0" fontId="7" fillId="3" borderId="58" xfId="2" applyFont="1" applyFill="1" applyBorder="1" applyAlignment="1" applyProtection="1">
      <alignment horizontal="center"/>
      <protection hidden="1"/>
    </xf>
    <xf numFmtId="0" fontId="7" fillId="0" borderId="7" xfId="0" applyFont="1" applyBorder="1" applyAlignment="1">
      <alignment horizontal="left" vertical="center"/>
    </xf>
    <xf numFmtId="0" fontId="7" fillId="3" borderId="35" xfId="3" applyFont="1" applyFill="1" applyBorder="1" applyProtection="1">
      <protection hidden="1"/>
    </xf>
    <xf numFmtId="0" fontId="7" fillId="3" borderId="8" xfId="3" applyFont="1" applyFill="1" applyBorder="1" applyProtection="1">
      <protection hidden="1"/>
    </xf>
    <xf numFmtId="0" fontId="7" fillId="3" borderId="9" xfId="7" applyFont="1" applyFill="1" applyBorder="1" applyAlignment="1" applyProtection="1">
      <alignment horizontal="center"/>
      <protection hidden="1"/>
    </xf>
    <xf numFmtId="43" fontId="18" fillId="0" borderId="9" xfId="6" applyNumberFormat="1" applyFont="1" applyBorder="1"/>
    <xf numFmtId="0" fontId="7" fillId="0" borderId="6" xfId="2" applyFont="1" applyBorder="1" applyAlignment="1" applyProtection="1">
      <alignment horizontal="center"/>
      <protection hidden="1"/>
    </xf>
    <xf numFmtId="0" fontId="7" fillId="0" borderId="7" xfId="2" applyFont="1" applyBorder="1" applyProtection="1">
      <protection hidden="1"/>
    </xf>
    <xf numFmtId="0" fontId="7" fillId="0" borderId="35" xfId="2" applyFont="1" applyBorder="1" applyProtection="1">
      <protection hidden="1"/>
    </xf>
    <xf numFmtId="0" fontId="7" fillId="0" borderId="8" xfId="2" applyFont="1" applyBorder="1" applyProtection="1">
      <protection hidden="1"/>
    </xf>
    <xf numFmtId="0" fontId="7" fillId="0" borderId="9" xfId="6" applyFont="1" applyBorder="1" applyAlignment="1" applyProtection="1">
      <alignment horizontal="center"/>
      <protection hidden="1"/>
    </xf>
    <xf numFmtId="43" fontId="18" fillId="0" borderId="9" xfId="10" applyFont="1" applyFill="1" applyBorder="1" applyProtection="1">
      <protection locked="0" hidden="1"/>
    </xf>
    <xf numFmtId="0" fontId="7" fillId="3" borderId="6" xfId="2" applyFont="1" applyFill="1" applyBorder="1" applyAlignment="1" applyProtection="1">
      <alignment horizontal="center"/>
      <protection hidden="1"/>
    </xf>
    <xf numFmtId="0" fontId="7" fillId="3" borderId="7" xfId="3" applyFont="1" applyFill="1" applyBorder="1" applyProtection="1">
      <protection hidden="1"/>
    </xf>
    <xf numFmtId="43" fontId="7" fillId="3" borderId="9" xfId="10" applyFont="1" applyFill="1" applyBorder="1" applyProtection="1">
      <protection locked="0" hidden="1"/>
    </xf>
    <xf numFmtId="43" fontId="18" fillId="3" borderId="7" xfId="10" applyFont="1" applyFill="1" applyBorder="1" applyAlignment="1" applyProtection="1">
      <alignment horizontal="center"/>
      <protection hidden="1"/>
    </xf>
    <xf numFmtId="0" fontId="7" fillId="0" borderId="58" xfId="7" applyFont="1" applyBorder="1" applyAlignment="1" applyProtection="1">
      <alignment horizontal="center" vertical="center"/>
      <protection hidden="1"/>
    </xf>
    <xf numFmtId="0" fontId="7" fillId="0" borderId="59" xfId="7" applyFont="1" applyBorder="1" applyAlignment="1" applyProtection="1">
      <alignment horizontal="center" vertical="center"/>
      <protection hidden="1"/>
    </xf>
    <xf numFmtId="0" fontId="7" fillId="0" borderId="0" xfId="7" applyFont="1" applyAlignment="1" applyProtection="1">
      <alignment horizontal="center" vertical="center"/>
      <protection hidden="1"/>
    </xf>
    <xf numFmtId="0" fontId="7" fillId="0" borderId="32" xfId="7" applyFont="1" applyBorder="1" applyAlignment="1" applyProtection="1">
      <alignment horizontal="center" vertical="center"/>
      <protection hidden="1"/>
    </xf>
    <xf numFmtId="0" fontId="7" fillId="0" borderId="60" xfId="7" applyFont="1" applyBorder="1" applyAlignment="1" applyProtection="1">
      <alignment horizontal="center" vertical="center"/>
      <protection hidden="1"/>
    </xf>
    <xf numFmtId="0" fontId="7" fillId="0" borderId="60" xfId="7" applyFont="1" applyBorder="1" applyAlignment="1" applyProtection="1">
      <alignment horizontal="center"/>
      <protection hidden="1"/>
    </xf>
    <xf numFmtId="0" fontId="7" fillId="3" borderId="52" xfId="2" applyFont="1" applyFill="1" applyBorder="1" applyAlignment="1" applyProtection="1">
      <alignment horizontal="center"/>
      <protection hidden="1"/>
    </xf>
    <xf numFmtId="0" fontId="7" fillId="3" borderId="53" xfId="3" applyFont="1" applyFill="1" applyBorder="1" applyProtection="1">
      <protection hidden="1"/>
    </xf>
    <xf numFmtId="0" fontId="7" fillId="3" borderId="54" xfId="3" applyFont="1" applyFill="1" applyBorder="1" applyProtection="1">
      <protection hidden="1"/>
    </xf>
    <xf numFmtId="0" fontId="7" fillId="3" borderId="55" xfId="3" applyFont="1" applyFill="1" applyBorder="1" applyProtection="1">
      <protection hidden="1"/>
    </xf>
    <xf numFmtId="0" fontId="7" fillId="0" borderId="56" xfId="6" applyFont="1" applyBorder="1" applyAlignment="1" applyProtection="1">
      <alignment horizontal="center"/>
      <protection hidden="1"/>
    </xf>
    <xf numFmtId="43" fontId="7" fillId="3" borderId="56" xfId="10" applyFont="1" applyFill="1" applyBorder="1" applyProtection="1">
      <protection locked="0" hidden="1"/>
    </xf>
    <xf numFmtId="43" fontId="7" fillId="3" borderId="53" xfId="10" applyFont="1" applyFill="1" applyBorder="1" applyAlignment="1" applyProtection="1">
      <alignment horizontal="center"/>
      <protection hidden="1"/>
    </xf>
    <xf numFmtId="43" fontId="18" fillId="3" borderId="9" xfId="10" applyFont="1" applyFill="1" applyBorder="1" applyProtection="1">
      <protection locked="0" hidden="1"/>
    </xf>
    <xf numFmtId="43" fontId="7" fillId="3" borderId="7" xfId="10" applyFont="1" applyFill="1" applyBorder="1" applyAlignment="1" applyProtection="1">
      <alignment horizontal="center"/>
      <protection hidden="1"/>
    </xf>
    <xf numFmtId="0" fontId="19" fillId="0" borderId="53" xfId="7" applyFont="1" applyBorder="1" applyAlignment="1" applyProtection="1">
      <alignment horizontal="center" vertical="center"/>
      <protection hidden="1"/>
    </xf>
    <xf numFmtId="0" fontId="19" fillId="3" borderId="26" xfId="3" applyFont="1" applyFill="1" applyBorder="1" applyProtection="1">
      <protection hidden="1"/>
    </xf>
    <xf numFmtId="0" fontId="7" fillId="0" borderId="20" xfId="6" applyFont="1" applyBorder="1" applyAlignment="1" applyProtection="1">
      <alignment horizontal="center"/>
      <protection hidden="1"/>
    </xf>
    <xf numFmtId="43" fontId="18" fillId="3" borderId="20" xfId="10" applyFont="1" applyFill="1" applyBorder="1" applyProtection="1">
      <protection locked="0" hidden="1"/>
    </xf>
    <xf numFmtId="43" fontId="7" fillId="3" borderId="20" xfId="10" applyFont="1" applyFill="1" applyBorder="1" applyAlignment="1" applyProtection="1">
      <alignment horizontal="center"/>
      <protection hidden="1"/>
    </xf>
    <xf numFmtId="0" fontId="7" fillId="3" borderId="21" xfId="2" applyFont="1" applyFill="1" applyBorder="1" applyAlignment="1" applyProtection="1">
      <alignment horizontal="center"/>
      <protection hidden="1"/>
    </xf>
    <xf numFmtId="0" fontId="19" fillId="3" borderId="22" xfId="3" applyFont="1" applyFill="1" applyBorder="1" applyProtection="1">
      <protection hidden="1"/>
    </xf>
    <xf numFmtId="0" fontId="7" fillId="3" borderId="61" xfId="3" applyFont="1" applyFill="1" applyBorder="1" applyProtection="1">
      <protection hidden="1"/>
    </xf>
    <xf numFmtId="0" fontId="7" fillId="3" borderId="23" xfId="3" applyFont="1" applyFill="1" applyBorder="1" applyProtection="1">
      <protection hidden="1"/>
    </xf>
    <xf numFmtId="0" fontId="7" fillId="0" borderId="24" xfId="6" applyFont="1" applyBorder="1" applyAlignment="1" applyProtection="1">
      <alignment horizontal="center"/>
      <protection hidden="1"/>
    </xf>
    <xf numFmtId="43" fontId="18" fillId="3" borderId="24" xfId="10" applyFont="1" applyFill="1" applyBorder="1" applyProtection="1">
      <protection locked="0" hidden="1"/>
    </xf>
    <xf numFmtId="43" fontId="7" fillId="3" borderId="24" xfId="10" applyFont="1" applyFill="1" applyBorder="1" applyAlignment="1" applyProtection="1">
      <alignment horizontal="center"/>
      <protection hidden="1"/>
    </xf>
    <xf numFmtId="0" fontId="19" fillId="3" borderId="20" xfId="3" applyFont="1" applyFill="1" applyBorder="1" applyProtection="1">
      <protection hidden="1"/>
    </xf>
    <xf numFmtId="0" fontId="7" fillId="3" borderId="26" xfId="3" applyFont="1" applyFill="1" applyBorder="1" applyProtection="1">
      <protection hidden="1"/>
    </xf>
    <xf numFmtId="0" fontId="7" fillId="3" borderId="34" xfId="2" applyFont="1" applyFill="1" applyBorder="1" applyAlignment="1" applyProtection="1">
      <alignment horizontal="center"/>
      <protection hidden="1"/>
    </xf>
    <xf numFmtId="0" fontId="7" fillId="3" borderId="22" xfId="3" applyFont="1" applyFill="1" applyBorder="1" applyProtection="1">
      <protection hidden="1"/>
    </xf>
    <xf numFmtId="0" fontId="7" fillId="3" borderId="62" xfId="3" applyFont="1" applyFill="1" applyBorder="1" applyProtection="1">
      <protection hidden="1"/>
    </xf>
    <xf numFmtId="0" fontId="7" fillId="3" borderId="29" xfId="3" applyFont="1" applyFill="1" applyBorder="1" applyProtection="1">
      <protection hidden="1"/>
    </xf>
    <xf numFmtId="0" fontId="7" fillId="3" borderId="18" xfId="7" applyFont="1" applyFill="1" applyBorder="1" applyAlignment="1" applyProtection="1">
      <alignment horizontal="center"/>
      <protection hidden="1"/>
    </xf>
    <xf numFmtId="43" fontId="18" fillId="3" borderId="18" xfId="10" applyFont="1" applyFill="1" applyBorder="1" applyProtection="1">
      <protection locked="0" hidden="1"/>
    </xf>
    <xf numFmtId="43" fontId="18" fillId="3" borderId="63" xfId="10" applyFont="1" applyFill="1" applyBorder="1" applyAlignment="1" applyProtection="1">
      <alignment vertical="center"/>
      <protection hidden="1"/>
    </xf>
    <xf numFmtId="0" fontId="7" fillId="3" borderId="24" xfId="7" applyFont="1" applyFill="1" applyBorder="1" applyAlignment="1" applyProtection="1">
      <alignment horizontal="center"/>
      <protection hidden="1"/>
    </xf>
    <xf numFmtId="43" fontId="18" fillId="3" borderId="23" xfId="10" applyFont="1" applyFill="1" applyBorder="1" applyProtection="1">
      <protection locked="0" hidden="1"/>
    </xf>
    <xf numFmtId="43" fontId="18" fillId="3" borderId="61" xfId="10" applyFont="1" applyFill="1" applyBorder="1" applyAlignment="1" applyProtection="1">
      <alignment horizontal="center" wrapText="1"/>
      <protection hidden="1"/>
    </xf>
    <xf numFmtId="43" fontId="18" fillId="3" borderId="20" xfId="1" applyFont="1" applyFill="1" applyBorder="1" applyProtection="1">
      <protection locked="0" hidden="1"/>
    </xf>
    <xf numFmtId="0" fontId="7" fillId="3" borderId="10" xfId="2" applyFont="1" applyFill="1" applyBorder="1" applyAlignment="1" applyProtection="1">
      <alignment horizontal="center"/>
      <protection hidden="1"/>
    </xf>
    <xf numFmtId="0" fontId="7" fillId="3" borderId="13" xfId="3" applyFont="1" applyFill="1" applyBorder="1" applyProtection="1">
      <protection hidden="1"/>
    </xf>
    <xf numFmtId="0" fontId="7" fillId="3" borderId="13" xfId="7" applyFont="1" applyFill="1" applyBorder="1" applyAlignment="1" applyProtection="1">
      <alignment horizontal="center"/>
      <protection hidden="1"/>
    </xf>
    <xf numFmtId="43" fontId="18" fillId="0" borderId="13" xfId="6" applyNumberFormat="1" applyFont="1" applyBorder="1"/>
    <xf numFmtId="0" fontId="5" fillId="0" borderId="17" xfId="6" applyFont="1" applyBorder="1"/>
    <xf numFmtId="0" fontId="5" fillId="0" borderId="15" xfId="6" applyFont="1" applyBorder="1"/>
    <xf numFmtId="0" fontId="7" fillId="0" borderId="22" xfId="0" applyFont="1" applyBorder="1" applyAlignment="1">
      <alignment horizontal="left" vertical="center"/>
    </xf>
    <xf numFmtId="0" fontId="18" fillId="0" borderId="24" xfId="6" applyFont="1" applyBorder="1"/>
    <xf numFmtId="0" fontId="5" fillId="0" borderId="0" xfId="3" applyFont="1" applyAlignment="1">
      <alignment vertical="center"/>
    </xf>
    <xf numFmtId="0" fontId="5" fillId="0" borderId="0" xfId="3" applyFont="1" applyAlignment="1">
      <alignment horizontal="left" vertical="center"/>
    </xf>
    <xf numFmtId="0" fontId="7" fillId="0" borderId="0" xfId="3" applyFont="1"/>
    <xf numFmtId="0" fontId="7" fillId="0" borderId="0" xfId="7" applyFont="1" applyAlignment="1" applyProtection="1">
      <alignment horizontal="center"/>
      <protection hidden="1"/>
    </xf>
    <xf numFmtId="0" fontId="20" fillId="0" borderId="0" xfId="3" applyFont="1" applyProtection="1">
      <protection hidden="1"/>
    </xf>
    <xf numFmtId="0" fontId="21" fillId="0" borderId="0" xfId="7" applyFont="1" applyAlignment="1" applyProtection="1">
      <alignment horizontal="center" vertical="center"/>
      <protection hidden="1"/>
    </xf>
    <xf numFmtId="4" fontId="7" fillId="0" borderId="0" xfId="5" applyFont="1" applyAlignment="1">
      <alignment horizontal="center"/>
    </xf>
    <xf numFmtId="0" fontId="5" fillId="0" borderId="0" xfId="3" applyFont="1"/>
    <xf numFmtId="0" fontId="7" fillId="0" borderId="0" xfId="3" applyFont="1" applyAlignment="1">
      <alignment horizontal="left"/>
    </xf>
    <xf numFmtId="0" fontId="21" fillId="0" borderId="0" xfId="2" applyFont="1" applyAlignment="1" applyProtection="1">
      <alignment horizontal="center"/>
      <protection hidden="1"/>
    </xf>
    <xf numFmtId="164" fontId="7" fillId="0" borderId="0" xfId="3" applyNumberFormat="1" applyFont="1" applyAlignment="1">
      <alignment horizontal="left"/>
    </xf>
    <xf numFmtId="4" fontId="7" fillId="0" borderId="0" xfId="5" applyFont="1" applyAlignment="1">
      <alignment horizontal="left"/>
    </xf>
    <xf numFmtId="49" fontId="7" fillId="0" borderId="56" xfId="6" applyNumberFormat="1" applyFont="1" applyBorder="1" applyAlignment="1" applyProtection="1">
      <alignment horizontal="center"/>
      <protection locked="0"/>
    </xf>
    <xf numFmtId="43" fontId="18" fillId="0" borderId="27" xfId="1" applyFont="1" applyFill="1" applyBorder="1" applyAlignment="1" applyProtection="1"/>
    <xf numFmtId="0" fontId="7" fillId="0" borderId="26" xfId="6" applyFont="1" applyBorder="1"/>
    <xf numFmtId="43" fontId="7" fillId="0" borderId="27" xfId="1" applyFont="1" applyFill="1" applyBorder="1" applyAlignment="1" applyProtection="1"/>
    <xf numFmtId="0" fontId="5" fillId="0" borderId="26" xfId="6" applyFont="1" applyBorder="1" applyAlignment="1">
      <alignment horizontal="center"/>
    </xf>
    <xf numFmtId="0" fontId="5" fillId="0" borderId="27" xfId="6" applyFont="1" applyBorder="1" applyAlignment="1">
      <alignment horizontal="center"/>
    </xf>
    <xf numFmtId="0" fontId="5" fillId="0" borderId="20" xfId="6" applyFont="1" applyBorder="1" applyAlignment="1">
      <alignment horizontal="center"/>
    </xf>
    <xf numFmtId="43" fontId="7" fillId="0" borderId="16" xfId="1" applyFont="1" applyFill="1" applyBorder="1" applyAlignment="1" applyProtection="1"/>
    <xf numFmtId="0" fontId="7" fillId="0" borderId="15" xfId="6" applyFont="1" applyBorder="1"/>
    <xf numFmtId="43" fontId="18" fillId="0" borderId="16" xfId="1" applyFont="1" applyFill="1" applyBorder="1" applyAlignment="1" applyProtection="1"/>
    <xf numFmtId="0" fontId="5" fillId="0" borderId="16" xfId="6" applyFont="1" applyBorder="1" applyAlignment="1">
      <alignment horizontal="center"/>
    </xf>
    <xf numFmtId="0" fontId="5" fillId="0" borderId="9" xfId="6" applyFont="1" applyBorder="1" applyAlignment="1">
      <alignment horizontal="center"/>
    </xf>
    <xf numFmtId="0" fontId="19" fillId="0" borderId="55" xfId="7" applyFont="1" applyBorder="1" applyAlignment="1" applyProtection="1">
      <alignment horizontal="center" vertical="center"/>
      <protection hidden="1"/>
    </xf>
    <xf numFmtId="43" fontId="18" fillId="0" borderId="7" xfId="11" applyFont="1" applyFill="1" applyBorder="1" applyAlignment="1" applyProtection="1">
      <alignment horizontal="center"/>
      <protection locked="0"/>
    </xf>
    <xf numFmtId="43" fontId="18" fillId="0" borderId="8" xfId="11" applyFont="1" applyFill="1" applyBorder="1" applyAlignment="1" applyProtection="1">
      <alignment horizontal="center"/>
      <protection locked="0"/>
    </xf>
    <xf numFmtId="49" fontId="7" fillId="0" borderId="9" xfId="6" applyNumberFormat="1" applyFont="1" applyBorder="1" applyAlignment="1" applyProtection="1">
      <alignment horizontal="center"/>
      <protection locked="0"/>
    </xf>
    <xf numFmtId="43" fontId="18" fillId="3" borderId="35" xfId="10" applyFont="1" applyFill="1" applyBorder="1" applyAlignment="1" applyProtection="1">
      <alignment horizontal="center"/>
      <protection hidden="1"/>
    </xf>
    <xf numFmtId="43" fontId="7" fillId="3" borderId="35" xfId="10" applyFont="1" applyFill="1" applyBorder="1" applyAlignment="1" applyProtection="1">
      <alignment horizontal="center"/>
      <protection hidden="1"/>
    </xf>
    <xf numFmtId="0" fontId="19" fillId="0" borderId="32" xfId="7" applyFont="1" applyBorder="1" applyAlignment="1" applyProtection="1">
      <alignment horizontal="center" vertical="center"/>
      <protection hidden="1"/>
    </xf>
    <xf numFmtId="4" fontId="22" fillId="0" borderId="57" xfId="0" applyNumberFormat="1" applyFont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/>
    </xf>
    <xf numFmtId="43" fontId="18" fillId="3" borderId="20" xfId="10" applyFont="1" applyFill="1" applyBorder="1" applyAlignment="1" applyProtection="1">
      <alignment horizontal="center"/>
      <protection hidden="1"/>
    </xf>
    <xf numFmtId="4" fontId="22" fillId="0" borderId="0" xfId="0" applyNumberFormat="1" applyFont="1" applyAlignment="1">
      <alignment horizontal="center" vertical="center"/>
    </xf>
    <xf numFmtId="4" fontId="22" fillId="0" borderId="60" xfId="0" applyNumberFormat="1" applyFont="1" applyBorder="1" applyAlignment="1">
      <alignment horizontal="center" vertical="center"/>
    </xf>
    <xf numFmtId="43" fontId="18" fillId="3" borderId="24" xfId="10" applyFont="1" applyFill="1" applyBorder="1" applyAlignment="1" applyProtection="1">
      <alignment horizontal="center"/>
      <protection hidden="1"/>
    </xf>
    <xf numFmtId="43" fontId="18" fillId="3" borderId="29" xfId="10" applyFont="1" applyFill="1" applyBorder="1" applyAlignment="1" applyProtection="1">
      <alignment vertical="center"/>
      <protection hidden="1"/>
    </xf>
    <xf numFmtId="43" fontId="7" fillId="3" borderId="63" xfId="10" applyFont="1" applyFill="1" applyBorder="1" applyAlignment="1" applyProtection="1">
      <alignment horizontal="center" wrapText="1"/>
      <protection hidden="1"/>
    </xf>
    <xf numFmtId="43" fontId="7" fillId="3" borderId="29" xfId="10" applyFont="1" applyFill="1" applyBorder="1" applyAlignment="1" applyProtection="1">
      <alignment horizontal="center"/>
      <protection hidden="1"/>
    </xf>
    <xf numFmtId="43" fontId="7" fillId="3" borderId="63" xfId="10" applyFont="1" applyFill="1" applyBorder="1" applyAlignment="1" applyProtection="1">
      <alignment horizontal="center"/>
      <protection hidden="1"/>
    </xf>
    <xf numFmtId="49" fontId="7" fillId="0" borderId="18" xfId="6" applyNumberFormat="1" applyFont="1" applyBorder="1" applyAlignment="1" applyProtection="1">
      <alignment horizontal="center"/>
      <protection locked="0"/>
    </xf>
    <xf numFmtId="43" fontId="18" fillId="3" borderId="23" xfId="10" applyFont="1" applyFill="1" applyBorder="1" applyAlignment="1" applyProtection="1">
      <alignment horizontal="center"/>
      <protection hidden="1"/>
    </xf>
    <xf numFmtId="43" fontId="7" fillId="3" borderId="61" xfId="10" applyFont="1" applyFill="1" applyBorder="1" applyAlignment="1" applyProtection="1">
      <alignment vertical="center"/>
      <protection hidden="1"/>
    </xf>
    <xf numFmtId="43" fontId="7" fillId="3" borderId="23" xfId="10" applyFont="1" applyFill="1" applyBorder="1" applyAlignment="1" applyProtection="1">
      <alignment vertical="center"/>
      <protection hidden="1"/>
    </xf>
    <xf numFmtId="43" fontId="7" fillId="3" borderId="61" xfId="10" applyFont="1" applyFill="1" applyBorder="1" applyAlignment="1" applyProtection="1">
      <alignment horizontal="center"/>
      <protection hidden="1"/>
    </xf>
    <xf numFmtId="43" fontId="7" fillId="3" borderId="23" xfId="10" applyFont="1" applyFill="1" applyBorder="1" applyAlignment="1" applyProtection="1">
      <alignment horizontal="center"/>
      <protection hidden="1"/>
    </xf>
    <xf numFmtId="49" fontId="7" fillId="0" borderId="23" xfId="6" applyNumberFormat="1" applyFont="1" applyBorder="1" applyAlignment="1" applyProtection="1">
      <alignment horizontal="center"/>
      <protection locked="0"/>
    </xf>
    <xf numFmtId="0" fontId="19" fillId="0" borderId="56" xfId="7" applyFont="1" applyBorder="1" applyAlignment="1" applyProtection="1">
      <alignment horizontal="center" vertical="center"/>
      <protection hidden="1"/>
    </xf>
    <xf numFmtId="43" fontId="7" fillId="0" borderId="20" xfId="1" applyFont="1" applyFill="1" applyBorder="1" applyAlignment="1" applyProtection="1">
      <alignment horizontal="center"/>
      <protection locked="0"/>
    </xf>
    <xf numFmtId="49" fontId="7" fillId="0" borderId="20" xfId="6" applyNumberFormat="1" applyFont="1" applyBorder="1" applyAlignment="1" applyProtection="1">
      <alignment horizontal="center"/>
      <protection locked="0"/>
    </xf>
    <xf numFmtId="49" fontId="7" fillId="0" borderId="60" xfId="6" applyNumberFormat="1" applyFont="1" applyBorder="1" applyAlignment="1" applyProtection="1">
      <alignment horizontal="center"/>
      <protection locked="0"/>
    </xf>
    <xf numFmtId="0" fontId="5" fillId="0" borderId="12" xfId="6" applyFont="1" applyBorder="1" applyAlignment="1">
      <alignment horizontal="center"/>
    </xf>
    <xf numFmtId="0" fontId="5" fillId="0" borderId="13" xfId="6" applyFont="1" applyBorder="1" applyAlignment="1">
      <alignment horizontal="center"/>
    </xf>
    <xf numFmtId="0" fontId="5" fillId="0" borderId="16" xfId="6" applyFont="1" applyBorder="1"/>
    <xf numFmtId="0" fontId="18" fillId="0" borderId="0" xfId="6" applyFont="1" applyAlignment="1" applyProtection="1">
      <alignment horizontal="center"/>
      <protection hidden="1"/>
    </xf>
    <xf numFmtId="4" fontId="7" fillId="0" borderId="0" xfId="5" applyFont="1"/>
    <xf numFmtId="0" fontId="16" fillId="0" borderId="0" xfId="6" applyFont="1" applyAlignment="1">
      <alignment horizontal="right"/>
    </xf>
    <xf numFmtId="0" fontId="5" fillId="0" borderId="60" xfId="6" applyFont="1" applyBorder="1" applyAlignment="1">
      <alignment horizontal="center"/>
    </xf>
    <xf numFmtId="0" fontId="19" fillId="0" borderId="68" xfId="7" applyFont="1" applyBorder="1" applyAlignment="1" applyProtection="1">
      <alignment horizontal="center" vertical="center"/>
      <protection hidden="1"/>
    </xf>
    <xf numFmtId="0" fontId="5" fillId="0" borderId="54" xfId="6" applyFont="1" applyBorder="1"/>
    <xf numFmtId="0" fontId="5" fillId="6" borderId="56" xfId="7" applyFont="1" applyFill="1" applyBorder="1" applyAlignment="1" applyProtection="1">
      <alignment horizontal="center"/>
      <protection hidden="1"/>
    </xf>
    <xf numFmtId="0" fontId="19" fillId="3" borderId="28" xfId="6" applyFont="1" applyFill="1" applyBorder="1" applyAlignment="1" applyProtection="1">
      <alignment horizontal="left"/>
      <protection locked="0"/>
    </xf>
    <xf numFmtId="0" fontId="19" fillId="3" borderId="69" xfId="6" applyFont="1" applyFill="1" applyBorder="1" applyAlignment="1" applyProtection="1">
      <alignment horizontal="left"/>
      <protection locked="0"/>
    </xf>
    <xf numFmtId="0" fontId="14" fillId="0" borderId="9" xfId="6" applyFont="1" applyBorder="1"/>
    <xf numFmtId="0" fontId="19" fillId="3" borderId="36" xfId="6" applyFont="1" applyFill="1" applyBorder="1" applyAlignment="1" applyProtection="1">
      <alignment horizontal="left"/>
      <protection locked="0"/>
    </xf>
    <xf numFmtId="49" fontId="19" fillId="0" borderId="9" xfId="6" applyNumberFormat="1" applyFont="1" applyBorder="1" applyAlignment="1" applyProtection="1">
      <alignment horizontal="center"/>
      <protection locked="0"/>
    </xf>
    <xf numFmtId="0" fontId="19" fillId="0" borderId="70" xfId="6" applyFont="1" applyBorder="1" applyAlignment="1" applyProtection="1">
      <alignment horizontal="left"/>
      <protection locked="0"/>
    </xf>
    <xf numFmtId="43" fontId="5" fillId="0" borderId="49" xfId="6" applyNumberFormat="1" applyFont="1" applyBorder="1"/>
    <xf numFmtId="43" fontId="5" fillId="0" borderId="49" xfId="10" applyFont="1" applyBorder="1"/>
    <xf numFmtId="0" fontId="19" fillId="3" borderId="70" xfId="6" applyFont="1" applyFill="1" applyBorder="1" applyAlignment="1" applyProtection="1">
      <alignment horizontal="left"/>
      <protection locked="0"/>
    </xf>
    <xf numFmtId="0" fontId="19" fillId="0" borderId="69" xfId="7" applyFont="1" applyBorder="1" applyAlignment="1" applyProtection="1">
      <alignment horizontal="center" vertical="center"/>
      <protection hidden="1"/>
    </xf>
    <xf numFmtId="0" fontId="5" fillId="0" borderId="0" xfId="6" applyFont="1" applyAlignment="1">
      <alignment horizontal="center"/>
    </xf>
    <xf numFmtId="0" fontId="5" fillId="6" borderId="0" xfId="7" applyFont="1" applyFill="1" applyAlignment="1" applyProtection="1">
      <alignment horizontal="center"/>
      <protection hidden="1"/>
    </xf>
    <xf numFmtId="49" fontId="19" fillId="0" borderId="20" xfId="6" applyNumberFormat="1" applyFont="1" applyBorder="1" applyAlignment="1" applyProtection="1">
      <alignment horizontal="center"/>
      <protection locked="0"/>
    </xf>
    <xf numFmtId="2" fontId="19" fillId="0" borderId="24" xfId="6" applyNumberFormat="1" applyFont="1" applyBorder="1" applyAlignment="1" applyProtection="1">
      <alignment horizontal="center"/>
      <protection locked="0"/>
    </xf>
    <xf numFmtId="2" fontId="19" fillId="0" borderId="20" xfId="6" applyNumberFormat="1" applyFont="1" applyBorder="1" applyAlignment="1" applyProtection="1">
      <alignment horizontal="center"/>
      <protection locked="0"/>
    </xf>
    <xf numFmtId="49" fontId="19" fillId="0" borderId="18" xfId="6" applyNumberFormat="1" applyFont="1" applyBorder="1" applyAlignment="1" applyProtection="1">
      <alignment horizontal="center"/>
      <protection locked="0"/>
    </xf>
    <xf numFmtId="0" fontId="19" fillId="3" borderId="30" xfId="6" applyFont="1" applyFill="1" applyBorder="1" applyAlignment="1" applyProtection="1">
      <alignment horizontal="left"/>
      <protection locked="0"/>
    </xf>
    <xf numFmtId="2" fontId="19" fillId="0" borderId="9" xfId="6" applyNumberFormat="1" applyFont="1" applyBorder="1" applyAlignment="1" applyProtection="1">
      <alignment horizontal="center"/>
      <protection locked="0"/>
    </xf>
    <xf numFmtId="2" fontId="19" fillId="0" borderId="23" xfId="6" applyNumberFormat="1" applyFont="1" applyBorder="1" applyAlignment="1" applyProtection="1">
      <alignment horizontal="center"/>
      <protection locked="0"/>
    </xf>
    <xf numFmtId="0" fontId="19" fillId="3" borderId="48" xfId="6" applyFont="1" applyFill="1" applyBorder="1" applyAlignment="1" applyProtection="1">
      <alignment horizontal="left"/>
      <protection locked="0"/>
    </xf>
    <xf numFmtId="0" fontId="19" fillId="3" borderId="45" xfId="6" applyFont="1" applyFill="1" applyBorder="1" applyAlignment="1" applyProtection="1">
      <alignment horizontal="left"/>
      <protection locked="0"/>
    </xf>
    <xf numFmtId="0" fontId="19" fillId="3" borderId="31" xfId="6" applyFont="1" applyFill="1" applyBorder="1" applyAlignment="1" applyProtection="1">
      <alignment horizontal="left"/>
      <protection locked="0"/>
    </xf>
    <xf numFmtId="0" fontId="14" fillId="0" borderId="24" xfId="6" applyFont="1" applyBorder="1"/>
    <xf numFmtId="0" fontId="23" fillId="0" borderId="0" xfId="6" applyFont="1" applyAlignment="1" applyProtection="1">
      <alignment horizontal="left"/>
      <protection locked="0"/>
    </xf>
    <xf numFmtId="0" fontId="20" fillId="0" borderId="0" xfId="6" applyFont="1" applyAlignment="1" applyProtection="1">
      <alignment horizontal="left"/>
      <protection locked="0"/>
    </xf>
    <xf numFmtId="0" fontId="24" fillId="0" borderId="0" xfId="7" applyFont="1" applyAlignment="1" applyProtection="1">
      <alignment horizontal="center" vertical="center"/>
      <protection hidden="1"/>
    </xf>
    <xf numFmtId="0" fontId="24" fillId="0" borderId="0" xfId="6" applyFont="1" applyAlignment="1" applyProtection="1">
      <alignment horizontal="left"/>
      <protection locked="0"/>
    </xf>
    <xf numFmtId="0" fontId="21" fillId="0" borderId="0" xfId="6" applyFont="1" applyAlignment="1" applyProtection="1">
      <alignment horizontal="left"/>
      <protection locked="0"/>
    </xf>
    <xf numFmtId="0" fontId="5" fillId="7" borderId="60" xfId="6" applyFont="1" applyFill="1" applyBorder="1" applyAlignment="1">
      <alignment horizontal="center"/>
    </xf>
    <xf numFmtId="43" fontId="5" fillId="8" borderId="49" xfId="6" applyNumberFormat="1" applyFont="1" applyFill="1" applyBorder="1"/>
    <xf numFmtId="165" fontId="5" fillId="0" borderId="49" xfId="10" applyNumberFormat="1" applyFont="1" applyBorder="1"/>
    <xf numFmtId="0" fontId="5" fillId="7" borderId="0" xfId="6" applyFont="1" applyFill="1" applyAlignment="1">
      <alignment horizontal="center"/>
    </xf>
    <xf numFmtId="166" fontId="5" fillId="8" borderId="49" xfId="6" applyNumberFormat="1" applyFont="1" applyFill="1" applyBorder="1"/>
    <xf numFmtId="0" fontId="25" fillId="0" borderId="0" xfId="0" applyFont="1"/>
    <xf numFmtId="39" fontId="7" fillId="0" borderId="0" xfId="0" applyNumberFormat="1" applyFont="1" applyAlignment="1">
      <alignment horizontal="center"/>
    </xf>
    <xf numFmtId="39" fontId="5" fillId="0" borderId="0" xfId="0" applyNumberFormat="1" applyFont="1" applyAlignment="1">
      <alignment horizontal="right"/>
    </xf>
    <xf numFmtId="39" fontId="7" fillId="9" borderId="0" xfId="0" applyNumberFormat="1" applyFont="1" applyFill="1" applyAlignment="1">
      <alignment horizontal="center"/>
    </xf>
    <xf numFmtId="39" fontId="5" fillId="0" borderId="0" xfId="0" applyNumberFormat="1" applyFont="1" applyAlignment="1">
      <alignment horizontal="center"/>
    </xf>
    <xf numFmtId="0" fontId="5" fillId="0" borderId="74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2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3" fontId="5" fillId="0" borderId="13" xfId="1" applyFont="1" applyFill="1" applyBorder="1" applyAlignment="1">
      <alignment horizontal="center"/>
    </xf>
    <xf numFmtId="43" fontId="5" fillId="0" borderId="13" xfId="1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43" fontId="5" fillId="0" borderId="17" xfId="1" applyFont="1" applyFill="1" applyBorder="1" applyAlignment="1">
      <alignment horizontal="center"/>
    </xf>
    <xf numFmtId="43" fontId="5" fillId="0" borderId="17" xfId="1" applyFont="1" applyBorder="1" applyAlignment="1">
      <alignment vertical="center"/>
    </xf>
    <xf numFmtId="2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43" fontId="5" fillId="0" borderId="17" xfId="0" applyNumberFormat="1" applyFont="1" applyBorder="1" applyAlignment="1">
      <alignment horizontal="center"/>
    </xf>
    <xf numFmtId="164" fontId="5" fillId="0" borderId="17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39" fontId="5" fillId="0" borderId="24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43" fontId="5" fillId="0" borderId="24" xfId="1" applyFont="1" applyBorder="1" applyAlignment="1">
      <alignment vertical="center"/>
    </xf>
    <xf numFmtId="0" fontId="5" fillId="0" borderId="0" xfId="0" applyFont="1"/>
    <xf numFmtId="43" fontId="5" fillId="0" borderId="0" xfId="0" applyNumberFormat="1" applyFont="1"/>
    <xf numFmtId="4" fontId="7" fillId="0" borderId="0" xfId="3" applyNumberFormat="1" applyFont="1" applyAlignment="1">
      <alignment horizontal="right" vertical="center"/>
    </xf>
    <xf numFmtId="4" fontId="7" fillId="0" borderId="75" xfId="3" applyNumberFormat="1" applyFont="1" applyBorder="1" applyAlignment="1">
      <alignment vertical="center"/>
    </xf>
    <xf numFmtId="0" fontId="26" fillId="0" borderId="0" xfId="0" applyFont="1"/>
    <xf numFmtId="0" fontId="7" fillId="0" borderId="0" xfId="3" applyFont="1" applyAlignment="1">
      <alignment horizontal="right" vertical="center"/>
    </xf>
    <xf numFmtId="39" fontId="5" fillId="0" borderId="0" xfId="0" applyNumberFormat="1" applyFont="1" applyAlignment="1">
      <alignment horizontal="left"/>
    </xf>
    <xf numFmtId="0" fontId="5" fillId="0" borderId="4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2" fillId="2" borderId="49" xfId="0" applyFont="1" applyFill="1" applyBorder="1"/>
    <xf numFmtId="0" fontId="5" fillId="0" borderId="30" xfId="0" applyFont="1" applyBorder="1" applyAlignment="1">
      <alignment horizontal="center" vertical="center"/>
    </xf>
    <xf numFmtId="0" fontId="5" fillId="0" borderId="3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3" applyFont="1" applyAlignment="1">
      <alignment vertical="center"/>
    </xf>
    <xf numFmtId="4" fontId="7" fillId="0" borderId="0" xfId="3" applyNumberFormat="1" applyFont="1" applyAlignment="1">
      <alignment vertical="center"/>
    </xf>
    <xf numFmtId="3" fontId="7" fillId="0" borderId="0" xfId="3" applyNumberFormat="1" applyFont="1" applyAlignment="1">
      <alignment vertical="center"/>
    </xf>
    <xf numFmtId="0" fontId="32" fillId="0" borderId="4" xfId="12" applyFont="1" applyBorder="1" applyAlignment="1">
      <alignment horizontal="center"/>
    </xf>
    <xf numFmtId="0" fontId="32" fillId="0" borderId="3" xfId="12" applyFont="1" applyBorder="1" applyAlignment="1">
      <alignment horizontal="center"/>
    </xf>
    <xf numFmtId="0" fontId="32" fillId="0" borderId="60" xfId="12" applyFont="1" applyBorder="1" applyAlignment="1">
      <alignment horizontal="center"/>
    </xf>
    <xf numFmtId="0" fontId="30" fillId="0" borderId="10" xfId="12" applyFont="1" applyBorder="1" applyAlignment="1">
      <alignment horizontal="center"/>
    </xf>
    <xf numFmtId="0" fontId="34" fillId="0" borderId="11" xfId="12" applyFont="1" applyBorder="1"/>
    <xf numFmtId="0" fontId="31" fillId="0" borderId="12" xfId="12" applyBorder="1"/>
    <xf numFmtId="0" fontId="31" fillId="0" borderId="13" xfId="12" applyBorder="1"/>
    <xf numFmtId="0" fontId="35" fillId="0" borderId="13" xfId="12" applyFont="1" applyBorder="1"/>
    <xf numFmtId="0" fontId="31" fillId="0" borderId="12" xfId="12" applyBorder="1" applyAlignment="1">
      <alignment horizontal="center"/>
    </xf>
    <xf numFmtId="0" fontId="31" fillId="0" borderId="81" xfId="12" applyBorder="1"/>
    <xf numFmtId="0" fontId="30" fillId="0" borderId="25" xfId="12" applyFont="1" applyBorder="1" applyAlignment="1">
      <alignment horizontal="center"/>
    </xf>
    <xf numFmtId="0" fontId="30" fillId="0" borderId="29" xfId="12" applyFont="1" applyBorder="1"/>
    <xf numFmtId="0" fontId="31" fillId="0" borderId="0" xfId="12"/>
    <xf numFmtId="43" fontId="31" fillId="0" borderId="18" xfId="13" applyFont="1" applyBorder="1"/>
    <xf numFmtId="0" fontId="31" fillId="0" borderId="18" xfId="12" applyBorder="1" applyAlignment="1">
      <alignment horizontal="center"/>
    </xf>
    <xf numFmtId="43" fontId="35" fillId="0" borderId="18" xfId="12" applyNumberFormat="1" applyFont="1" applyBorder="1"/>
    <xf numFmtId="43" fontId="31" fillId="0" borderId="29" xfId="13" applyFont="1" applyBorder="1" applyAlignment="1"/>
    <xf numFmtId="0" fontId="33" fillId="0" borderId="47" xfId="12" applyFont="1" applyBorder="1" applyAlignment="1">
      <alignment horizontal="center"/>
    </xf>
    <xf numFmtId="0" fontId="31" fillId="0" borderId="14" xfId="12" applyBorder="1"/>
    <xf numFmtId="0" fontId="36" fillId="0" borderId="39" xfId="0" applyFont="1" applyBorder="1"/>
    <xf numFmtId="2" fontId="36" fillId="0" borderId="17" xfId="0" applyNumberFormat="1" applyFont="1" applyBorder="1"/>
    <xf numFmtId="0" fontId="36" fillId="0" borderId="17" xfId="0" applyFont="1" applyBorder="1" applyAlignment="1">
      <alignment horizontal="center"/>
    </xf>
    <xf numFmtId="2" fontId="37" fillId="0" borderId="39" xfId="0" applyNumberFormat="1" applyFont="1" applyBorder="1"/>
    <xf numFmtId="43" fontId="37" fillId="0" borderId="17" xfId="13" applyFont="1" applyBorder="1" applyAlignment="1"/>
    <xf numFmtId="167" fontId="38" fillId="0" borderId="31" xfId="1" applyNumberFormat="1" applyFont="1" applyBorder="1" applyAlignment="1">
      <alignment horizontal="center"/>
    </xf>
    <xf numFmtId="167" fontId="39" fillId="0" borderId="31" xfId="1" applyNumberFormat="1" applyFont="1" applyBorder="1" applyAlignment="1">
      <alignment horizontal="center" vertical="center"/>
    </xf>
    <xf numFmtId="164" fontId="37" fillId="0" borderId="39" xfId="0" applyNumberFormat="1" applyFont="1" applyBorder="1"/>
    <xf numFmtId="0" fontId="40" fillId="0" borderId="31" xfId="0" applyFont="1" applyBorder="1" applyAlignment="1">
      <alignment horizontal="center" vertical="center"/>
    </xf>
    <xf numFmtId="0" fontId="31" fillId="0" borderId="34" xfId="12" applyBorder="1"/>
    <xf numFmtId="0" fontId="37" fillId="0" borderId="17" xfId="0" applyFont="1" applyBorder="1"/>
    <xf numFmtId="0" fontId="41" fillId="0" borderId="39" xfId="0" applyFont="1" applyBorder="1"/>
    <xf numFmtId="43" fontId="37" fillId="0" borderId="18" xfId="0" applyNumberFormat="1" applyFont="1" applyBorder="1"/>
    <xf numFmtId="0" fontId="40" fillId="0" borderId="31" xfId="0" applyFont="1" applyBorder="1"/>
    <xf numFmtId="0" fontId="37" fillId="0" borderId="17" xfId="12" applyFont="1" applyBorder="1"/>
    <xf numFmtId="0" fontId="37" fillId="0" borderId="16" xfId="12" applyFont="1" applyBorder="1"/>
    <xf numFmtId="43" fontId="37" fillId="0" borderId="18" xfId="13" applyFont="1" applyBorder="1"/>
    <xf numFmtId="0" fontId="37" fillId="0" borderId="18" xfId="12" applyFont="1" applyBorder="1" applyAlignment="1">
      <alignment horizontal="center"/>
    </xf>
    <xf numFmtId="0" fontId="41" fillId="0" borderId="63" xfId="12" applyFont="1" applyBorder="1" applyAlignment="1">
      <alignment horizontal="center"/>
    </xf>
    <xf numFmtId="43" fontId="42" fillId="2" borderId="19" xfId="13" applyFont="1" applyFill="1" applyBorder="1" applyAlignment="1"/>
    <xf numFmtId="0" fontId="43" fillId="0" borderId="82" xfId="12" applyFont="1" applyBorder="1"/>
    <xf numFmtId="0" fontId="32" fillId="0" borderId="32" xfId="12" applyFont="1" applyBorder="1"/>
    <xf numFmtId="43" fontId="31" fillId="0" borderId="32" xfId="13" applyFont="1" applyBorder="1" applyAlignment="1"/>
    <xf numFmtId="167" fontId="44" fillId="0" borderId="31" xfId="11" applyNumberFormat="1" applyFont="1" applyBorder="1" applyAlignment="1">
      <alignment horizontal="center"/>
    </xf>
    <xf numFmtId="167" fontId="44" fillId="0" borderId="31" xfId="11" applyNumberFormat="1" applyFont="1" applyBorder="1"/>
    <xf numFmtId="0" fontId="40" fillId="0" borderId="31" xfId="0" applyFont="1" applyBorder="1" applyAlignment="1">
      <alignment horizontal="center"/>
    </xf>
    <xf numFmtId="0" fontId="38" fillId="0" borderId="39" xfId="0" applyFont="1" applyBorder="1"/>
    <xf numFmtId="43" fontId="43" fillId="0" borderId="19" xfId="13" applyFont="1" applyFill="1" applyBorder="1" applyAlignment="1"/>
    <xf numFmtId="0" fontId="25" fillId="0" borderId="21" xfId="0" applyFont="1" applyBorder="1"/>
    <xf numFmtId="0" fontId="25" fillId="0" borderId="24" xfId="0" applyFont="1" applyBorder="1"/>
    <xf numFmtId="0" fontId="25" fillId="0" borderId="24" xfId="0" applyFont="1" applyBorder="1" applyAlignment="1">
      <alignment horizontal="center"/>
    </xf>
    <xf numFmtId="43" fontId="45" fillId="0" borderId="9" xfId="0" applyNumberFormat="1" applyFont="1" applyBorder="1"/>
    <xf numFmtId="0" fontId="43" fillId="0" borderId="48" xfId="12" applyFont="1" applyBorder="1"/>
    <xf numFmtId="0" fontId="1" fillId="0" borderId="0" xfId="0" applyFont="1"/>
    <xf numFmtId="2" fontId="25" fillId="0" borderId="0" xfId="0" applyNumberFormat="1" applyFont="1"/>
    <xf numFmtId="2" fontId="1" fillId="0" borderId="0" xfId="0" applyNumberFormat="1" applyFont="1"/>
    <xf numFmtId="168" fontId="1" fillId="3" borderId="0" xfId="0" applyNumberFormat="1" applyFont="1" applyFill="1"/>
    <xf numFmtId="0" fontId="46" fillId="0" borderId="0" xfId="0" applyFont="1"/>
    <xf numFmtId="43" fontId="1" fillId="0" borderId="0" xfId="1" applyFont="1"/>
    <xf numFmtId="168" fontId="1" fillId="0" borderId="0" xfId="0" applyNumberFormat="1" applyFont="1"/>
    <xf numFmtId="0" fontId="47" fillId="0" borderId="0" xfId="3" applyFont="1"/>
    <xf numFmtId="0" fontId="48" fillId="0" borderId="0" xfId="3" applyFont="1"/>
    <xf numFmtId="0" fontId="49" fillId="0" borderId="0" xfId="3" applyFont="1"/>
    <xf numFmtId="0" fontId="51" fillId="0" borderId="4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51" fillId="0" borderId="56" xfId="12" applyFont="1" applyBorder="1" applyAlignment="1">
      <alignment horizontal="center"/>
    </xf>
    <xf numFmtId="0" fontId="11" fillId="0" borderId="56" xfId="12" applyFont="1" applyBorder="1" applyAlignment="1">
      <alignment horizontal="center"/>
    </xf>
    <xf numFmtId="0" fontId="52" fillId="0" borderId="83" xfId="12" applyFont="1" applyBorder="1" applyAlignment="1">
      <alignment horizontal="center"/>
    </xf>
    <xf numFmtId="0" fontId="52" fillId="0" borderId="84" xfId="12" applyFont="1" applyBorder="1"/>
    <xf numFmtId="0" fontId="48" fillId="0" borderId="85" xfId="12" applyFont="1" applyBorder="1"/>
    <xf numFmtId="0" fontId="48" fillId="0" borderId="17" xfId="12" applyFont="1" applyBorder="1"/>
    <xf numFmtId="0" fontId="53" fillId="0" borderId="17" xfId="12" applyFont="1" applyBorder="1"/>
    <xf numFmtId="0" fontId="48" fillId="0" borderId="16" xfId="12" applyFont="1" applyBorder="1" applyAlignment="1">
      <alignment horizontal="center"/>
    </xf>
    <xf numFmtId="0" fontId="48" fillId="0" borderId="47" xfId="12" applyFont="1" applyBorder="1"/>
    <xf numFmtId="0" fontId="52" fillId="0" borderId="86" xfId="12" applyFont="1" applyBorder="1"/>
    <xf numFmtId="0" fontId="48" fillId="0" borderId="86" xfId="12" applyFont="1" applyBorder="1"/>
    <xf numFmtId="43" fontId="48" fillId="0" borderId="86" xfId="13" applyFont="1" applyBorder="1"/>
    <xf numFmtId="0" fontId="48" fillId="0" borderId="86" xfId="12" applyFont="1" applyBorder="1" applyAlignment="1">
      <alignment horizontal="center"/>
    </xf>
    <xf numFmtId="43" fontId="53" fillId="0" borderId="86" xfId="12" applyNumberFormat="1" applyFont="1" applyBorder="1"/>
    <xf numFmtId="43" fontId="48" fillId="0" borderId="86" xfId="13" applyFont="1" applyBorder="1" applyAlignment="1"/>
    <xf numFmtId="0" fontId="54" fillId="0" borderId="87" xfId="12" applyFont="1" applyBorder="1" applyAlignment="1">
      <alignment horizontal="center"/>
    </xf>
    <xf numFmtId="0" fontId="48" fillId="0" borderId="14" xfId="12" applyFont="1" applyBorder="1"/>
    <xf numFmtId="0" fontId="55" fillId="0" borderId="17" xfId="3" applyFont="1" applyBorder="1"/>
    <xf numFmtId="2" fontId="55" fillId="0" borderId="17" xfId="3" applyNumberFormat="1" applyFont="1" applyBorder="1"/>
    <xf numFmtId="0" fontId="55" fillId="0" borderId="17" xfId="3" applyFont="1" applyBorder="1" applyAlignment="1">
      <alignment horizontal="center"/>
    </xf>
    <xf numFmtId="43" fontId="53" fillId="0" borderId="17" xfId="12" applyNumberFormat="1" applyFont="1" applyBorder="1"/>
    <xf numFmtId="43" fontId="48" fillId="0" borderId="17" xfId="13" applyFont="1" applyBorder="1" applyAlignment="1"/>
    <xf numFmtId="0" fontId="54" fillId="0" borderId="31" xfId="12" applyFont="1" applyBorder="1" applyAlignment="1">
      <alignment horizontal="center"/>
    </xf>
    <xf numFmtId="0" fontId="48" fillId="0" borderId="31" xfId="12" applyFont="1" applyBorder="1"/>
    <xf numFmtId="0" fontId="48" fillId="0" borderId="17" xfId="3" applyFont="1" applyBorder="1"/>
    <xf numFmtId="0" fontId="48" fillId="0" borderId="17" xfId="3" applyFont="1" applyBorder="1" applyAlignment="1">
      <alignment horizontal="center"/>
    </xf>
    <xf numFmtId="0" fontId="48" fillId="0" borderId="31" xfId="3" applyFont="1" applyBorder="1"/>
    <xf numFmtId="0" fontId="52" fillId="0" borderId="14" xfId="12" applyFont="1" applyBorder="1" applyAlignment="1">
      <alignment horizontal="center"/>
    </xf>
    <xf numFmtId="0" fontId="48" fillId="0" borderId="14" xfId="3" applyFont="1" applyBorder="1"/>
    <xf numFmtId="43" fontId="53" fillId="0" borderId="17" xfId="11" applyFont="1" applyBorder="1" applyAlignment="1">
      <alignment horizontal="center"/>
    </xf>
    <xf numFmtId="0" fontId="52" fillId="0" borderId="31" xfId="12" applyFont="1" applyBorder="1"/>
    <xf numFmtId="43" fontId="48" fillId="0" borderId="17" xfId="13" applyFont="1" applyBorder="1"/>
    <xf numFmtId="0" fontId="48" fillId="0" borderId="17" xfId="12" applyFont="1" applyBorder="1" applyAlignment="1">
      <alignment horizontal="center"/>
    </xf>
    <xf numFmtId="43" fontId="48" fillId="0" borderId="18" xfId="13" applyFont="1" applyBorder="1" applyAlignment="1"/>
    <xf numFmtId="0" fontId="56" fillId="0" borderId="15" xfId="12" applyFont="1" applyBorder="1" applyAlignment="1">
      <alignment horizontal="center"/>
    </xf>
    <xf numFmtId="43" fontId="57" fillId="2" borderId="19" xfId="13" applyFont="1" applyFill="1" applyBorder="1" applyAlignment="1"/>
    <xf numFmtId="0" fontId="58" fillId="0" borderId="47" xfId="12" applyFont="1" applyBorder="1"/>
    <xf numFmtId="0" fontId="48" fillId="0" borderId="21" xfId="3" applyFont="1" applyBorder="1"/>
    <xf numFmtId="0" fontId="48" fillId="0" borderId="24" xfId="3" applyFont="1" applyBorder="1"/>
    <xf numFmtId="0" fontId="48" fillId="0" borderId="9" xfId="3" applyFont="1" applyBorder="1"/>
    <xf numFmtId="0" fontId="48" fillId="0" borderId="36" xfId="3" applyFont="1" applyBorder="1"/>
    <xf numFmtId="43" fontId="58" fillId="0" borderId="19" xfId="13" applyFont="1" applyBorder="1" applyAlignment="1"/>
    <xf numFmtId="0" fontId="47" fillId="0" borderId="0" xfId="6" applyFont="1"/>
    <xf numFmtId="0" fontId="59" fillId="0" borderId="0" xfId="6" applyFont="1"/>
    <xf numFmtId="0" fontId="61" fillId="0" borderId="0" xfId="6" applyFont="1"/>
    <xf numFmtId="0" fontId="62" fillId="0" borderId="0" xfId="14" applyFont="1"/>
    <xf numFmtId="2" fontId="62" fillId="0" borderId="0" xfId="14" applyNumberFormat="1" applyFont="1"/>
    <xf numFmtId="0" fontId="59" fillId="6" borderId="4" xfId="7" applyFont="1" applyFill="1" applyBorder="1" applyAlignment="1" applyProtection="1">
      <alignment horizontal="center"/>
      <protection hidden="1"/>
    </xf>
    <xf numFmtId="0" fontId="59" fillId="6" borderId="9" xfId="7" applyFont="1" applyFill="1" applyBorder="1" applyAlignment="1" applyProtection="1">
      <alignment horizontal="center" vertical="center"/>
      <protection hidden="1"/>
    </xf>
    <xf numFmtId="0" fontId="59" fillId="6" borderId="9" xfId="7" applyFont="1" applyFill="1" applyBorder="1" applyAlignment="1" applyProtection="1">
      <alignment horizontal="center"/>
      <protection hidden="1"/>
    </xf>
    <xf numFmtId="0" fontId="59" fillId="0" borderId="71" xfId="2" applyFont="1" applyBorder="1" applyAlignment="1" applyProtection="1">
      <alignment horizontal="center"/>
      <protection hidden="1"/>
    </xf>
    <xf numFmtId="0" fontId="59" fillId="0" borderId="72" xfId="2" applyFont="1" applyBorder="1" applyProtection="1">
      <protection hidden="1"/>
    </xf>
    <xf numFmtId="0" fontId="59" fillId="0" borderId="72" xfId="6" applyFont="1" applyBorder="1" applyAlignment="1" applyProtection="1">
      <alignment horizontal="center"/>
      <protection hidden="1"/>
    </xf>
    <xf numFmtId="43" fontId="63" fillId="0" borderId="72" xfId="10" applyFont="1" applyFill="1" applyBorder="1" applyProtection="1">
      <protection locked="0" hidden="1"/>
    </xf>
    <xf numFmtId="43" fontId="59" fillId="0" borderId="72" xfId="11" applyFont="1" applyFill="1" applyBorder="1" applyAlignment="1" applyProtection="1">
      <alignment horizontal="center"/>
      <protection locked="0"/>
    </xf>
    <xf numFmtId="43" fontId="63" fillId="0" borderId="72" xfId="11" applyFont="1" applyFill="1" applyBorder="1" applyAlignment="1" applyProtection="1">
      <alignment horizontal="center"/>
      <protection locked="0"/>
    </xf>
    <xf numFmtId="0" fontId="59" fillId="0" borderId="52" xfId="2" applyFont="1" applyBorder="1" applyAlignment="1" applyProtection="1">
      <alignment horizontal="center"/>
      <protection hidden="1"/>
    </xf>
    <xf numFmtId="0" fontId="59" fillId="0" borderId="56" xfId="2" applyFont="1" applyBorder="1" applyProtection="1">
      <protection hidden="1"/>
    </xf>
    <xf numFmtId="0" fontId="59" fillId="0" borderId="49" xfId="7" applyFont="1" applyBorder="1" applyAlignment="1" applyProtection="1">
      <alignment horizontal="center"/>
      <protection hidden="1"/>
    </xf>
    <xf numFmtId="43" fontId="63" fillId="0" borderId="56" xfId="10" applyFont="1" applyFill="1" applyBorder="1" applyProtection="1">
      <protection locked="0" hidden="1"/>
    </xf>
    <xf numFmtId="43" fontId="63" fillId="0" borderId="56" xfId="11" applyFont="1" applyFill="1" applyBorder="1" applyAlignment="1" applyProtection="1">
      <alignment horizontal="center"/>
      <protection locked="0"/>
    </xf>
    <xf numFmtId="43" fontId="59" fillId="0" borderId="56" xfId="11" applyFont="1" applyFill="1" applyBorder="1" applyAlignment="1" applyProtection="1">
      <alignment horizontal="center"/>
      <protection locked="0"/>
    </xf>
    <xf numFmtId="0" fontId="59" fillId="0" borderId="88" xfId="2" applyFont="1" applyBorder="1" applyAlignment="1" applyProtection="1">
      <alignment horizontal="center"/>
      <protection hidden="1"/>
    </xf>
    <xf numFmtId="0" fontId="59" fillId="0" borderId="49" xfId="6" applyFont="1" applyBorder="1" applyProtection="1">
      <protection hidden="1"/>
    </xf>
    <xf numFmtId="43" fontId="63" fillId="0" borderId="49" xfId="10" applyFont="1" applyFill="1" applyBorder="1" applyProtection="1">
      <protection locked="0" hidden="1"/>
    </xf>
    <xf numFmtId="43" fontId="63" fillId="0" borderId="49" xfId="11" applyFont="1" applyFill="1" applyBorder="1" applyAlignment="1" applyProtection="1">
      <alignment horizontal="center"/>
      <protection locked="0" hidden="1"/>
    </xf>
    <xf numFmtId="43" fontId="59" fillId="0" borderId="49" xfId="11" applyFont="1" applyFill="1" applyBorder="1" applyAlignment="1" applyProtection="1">
      <alignment horizontal="center"/>
      <protection locked="0"/>
    </xf>
    <xf numFmtId="43" fontId="59" fillId="0" borderId="49" xfId="11" applyFont="1" applyFill="1" applyBorder="1" applyAlignment="1" applyProtection="1">
      <alignment horizontal="center"/>
      <protection locked="0" hidden="1"/>
    </xf>
    <xf numFmtId="43" fontId="63" fillId="0" borderId="49" xfId="11" applyFont="1" applyFill="1" applyBorder="1" applyAlignment="1" applyProtection="1">
      <alignment horizontal="center"/>
      <protection locked="0"/>
    </xf>
    <xf numFmtId="0" fontId="59" fillId="0" borderId="49" xfId="3" applyFont="1" applyBorder="1" applyProtection="1">
      <protection hidden="1"/>
    </xf>
    <xf numFmtId="43" fontId="63" fillId="0" borderId="49" xfId="11" applyFont="1" applyFill="1" applyBorder="1" applyAlignment="1" applyProtection="1">
      <alignment horizontal="center"/>
      <protection hidden="1"/>
    </xf>
    <xf numFmtId="43" fontId="59" fillId="0" borderId="49" xfId="11" applyFont="1" applyFill="1" applyBorder="1" applyAlignment="1" applyProtection="1">
      <alignment horizontal="center"/>
      <protection hidden="1"/>
    </xf>
    <xf numFmtId="169" fontId="63" fillId="0" borderId="49" xfId="10" applyNumberFormat="1" applyFont="1" applyFill="1" applyBorder="1" applyProtection="1">
      <protection locked="0" hidden="1"/>
    </xf>
    <xf numFmtId="169" fontId="63" fillId="0" borderId="49" xfId="11" applyNumberFormat="1" applyFont="1" applyFill="1" applyBorder="1" applyAlignment="1" applyProtection="1">
      <alignment horizontal="center"/>
      <protection hidden="1"/>
    </xf>
    <xf numFmtId="0" fontId="59" fillId="0" borderId="50" xfId="6" applyFont="1" applyBorder="1"/>
    <xf numFmtId="0" fontId="47" fillId="0" borderId="50" xfId="0" applyFont="1" applyBorder="1" applyAlignment="1">
      <alignment vertical="center"/>
    </xf>
    <xf numFmtId="0" fontId="47" fillId="0" borderId="50" xfId="0" applyFont="1" applyBorder="1" applyAlignment="1">
      <alignment horizontal="left" vertical="center"/>
    </xf>
    <xf numFmtId="0" fontId="47" fillId="0" borderId="50" xfId="6" applyFont="1" applyBorder="1"/>
    <xf numFmtId="0" fontId="59" fillId="0" borderId="0" xfId="0" applyFont="1"/>
    <xf numFmtId="0" fontId="59" fillId="0" borderId="0" xfId="7" applyFont="1" applyAlignment="1" applyProtection="1">
      <alignment horizontal="center"/>
      <protection hidden="1"/>
    </xf>
    <xf numFmtId="0" fontId="64" fillId="0" borderId="0" xfId="3" applyFont="1" applyProtection="1">
      <protection hidden="1"/>
    </xf>
    <xf numFmtId="0" fontId="65" fillId="0" borderId="0" xfId="7" applyFont="1" applyAlignment="1" applyProtection="1">
      <alignment horizontal="center" vertical="center"/>
      <protection hidden="1"/>
    </xf>
    <xf numFmtId="4" fontId="59" fillId="0" borderId="0" xfId="5" applyFont="1" applyAlignment="1">
      <alignment horizontal="center"/>
    </xf>
    <xf numFmtId="0" fontId="47" fillId="0" borderId="0" xfId="0" applyFont="1"/>
    <xf numFmtId="0" fontId="59" fillId="0" borderId="0" xfId="0" applyFont="1" applyAlignment="1">
      <alignment horizontal="left"/>
    </xf>
    <xf numFmtId="0" fontId="65" fillId="0" borderId="0" xfId="2" applyFont="1" applyAlignment="1" applyProtection="1">
      <alignment horizontal="center"/>
      <protection hidden="1"/>
    </xf>
    <xf numFmtId="4" fontId="59" fillId="0" borderId="0" xfId="5" applyFont="1" applyAlignment="1">
      <alignment horizontal="left"/>
    </xf>
    <xf numFmtId="4" fontId="59" fillId="0" borderId="0" xfId="5" applyFont="1"/>
    <xf numFmtId="0" fontId="59" fillId="0" borderId="0" xfId="3" applyFont="1"/>
    <xf numFmtId="0" fontId="65" fillId="0" borderId="0" xfId="7" applyFont="1" applyAlignment="1" applyProtection="1">
      <alignment horizontal="center"/>
      <protection hidden="1"/>
    </xf>
    <xf numFmtId="0" fontId="59" fillId="0" borderId="0" xfId="6" applyFont="1" applyAlignment="1">
      <alignment horizontal="right"/>
    </xf>
    <xf numFmtId="0" fontId="59" fillId="0" borderId="72" xfId="6" applyFont="1" applyBorder="1" applyAlignment="1" applyProtection="1">
      <alignment horizontal="center"/>
      <protection locked="0"/>
    </xf>
    <xf numFmtId="0" fontId="64" fillId="0" borderId="76" xfId="6" applyFont="1" applyBorder="1" applyAlignment="1" applyProtection="1">
      <alignment horizontal="left"/>
      <protection locked="0"/>
    </xf>
    <xf numFmtId="0" fontId="59" fillId="0" borderId="56" xfId="6" applyFont="1" applyBorder="1" applyAlignment="1" applyProtection="1">
      <alignment horizontal="center"/>
      <protection locked="0"/>
    </xf>
    <xf numFmtId="0" fontId="64" fillId="0" borderId="68" xfId="6" applyFont="1" applyBorder="1" applyAlignment="1" applyProtection="1">
      <alignment horizontal="left"/>
      <protection locked="0"/>
    </xf>
    <xf numFmtId="0" fontId="59" fillId="0" borderId="49" xfId="6" applyFont="1" applyBorder="1" applyAlignment="1" applyProtection="1">
      <alignment horizontal="center"/>
      <protection locked="0"/>
    </xf>
    <xf numFmtId="0" fontId="63" fillId="0" borderId="89" xfId="6" applyFont="1" applyBorder="1" applyAlignment="1" applyProtection="1">
      <alignment horizontal="left"/>
      <protection locked="0"/>
    </xf>
    <xf numFmtId="0" fontId="64" fillId="0" borderId="89" xfId="6" applyFont="1" applyBorder="1" applyAlignment="1" applyProtection="1">
      <alignment horizontal="left"/>
      <protection locked="0"/>
    </xf>
    <xf numFmtId="0" fontId="63" fillId="0" borderId="0" xfId="6" applyFont="1" applyAlignment="1" applyProtection="1">
      <alignment horizontal="center"/>
      <protection hidden="1"/>
    </xf>
    <xf numFmtId="0" fontId="64" fillId="0" borderId="0" xfId="6" applyFont="1" applyAlignment="1" applyProtection="1">
      <alignment horizontal="left"/>
      <protection locked="0"/>
    </xf>
    <xf numFmtId="0" fontId="65" fillId="0" borderId="0" xfId="6" applyFont="1" applyAlignment="1" applyProtection="1">
      <alignment horizontal="left"/>
      <protection locked="0"/>
    </xf>
    <xf numFmtId="43" fontId="45" fillId="2" borderId="9" xfId="0" applyNumberFormat="1" applyFont="1" applyFill="1" applyBorder="1"/>
    <xf numFmtId="0" fontId="66" fillId="0" borderId="4" xfId="12" applyFont="1" applyBorder="1" applyAlignment="1">
      <alignment horizontal="center"/>
    </xf>
    <xf numFmtId="0" fontId="66" fillId="0" borderId="56" xfId="12" applyFont="1" applyBorder="1" applyAlignment="1">
      <alignment horizontal="center"/>
    </xf>
    <xf numFmtId="0" fontId="32" fillId="0" borderId="56" xfId="12" applyFont="1" applyBorder="1" applyAlignment="1">
      <alignment horizontal="center"/>
    </xf>
    <xf numFmtId="0" fontId="30" fillId="0" borderId="83" xfId="12" applyFont="1" applyBorder="1" applyAlignment="1">
      <alignment horizontal="center"/>
    </xf>
    <xf numFmtId="0" fontId="34" fillId="0" borderId="84" xfId="12" applyFont="1" applyBorder="1"/>
    <xf numFmtId="0" fontId="31" fillId="0" borderId="85" xfId="12" applyBorder="1"/>
    <xf numFmtId="0" fontId="31" fillId="0" borderId="17" xfId="12" applyBorder="1"/>
    <xf numFmtId="0" fontId="35" fillId="0" borderId="17" xfId="12" applyFont="1" applyBorder="1"/>
    <xf numFmtId="0" fontId="31" fillId="0" borderId="16" xfId="12" applyBorder="1" applyAlignment="1">
      <alignment horizontal="center"/>
    </xf>
    <xf numFmtId="0" fontId="31" fillId="0" borderId="47" xfId="12" applyBorder="1"/>
    <xf numFmtId="2" fontId="41" fillId="0" borderId="39" xfId="0" applyNumberFormat="1" applyFont="1" applyBorder="1"/>
    <xf numFmtId="167" fontId="38" fillId="0" borderId="31" xfId="1" applyNumberFormat="1" applyFont="1" applyBorder="1" applyAlignment="1">
      <alignment horizontal="center" vertical="center"/>
    </xf>
    <xf numFmtId="164" fontId="41" fillId="0" borderId="39" xfId="0" applyNumberFormat="1" applyFont="1" applyBorder="1"/>
    <xf numFmtId="164" fontId="37" fillId="0" borderId="17" xfId="13" applyNumberFormat="1" applyFont="1" applyBorder="1" applyAlignment="1"/>
    <xf numFmtId="0" fontId="30" fillId="0" borderId="32" xfId="12" applyFont="1" applyBorder="1"/>
    <xf numFmtId="0" fontId="37" fillId="0" borderId="29" xfId="12" applyFont="1" applyBorder="1"/>
    <xf numFmtId="164" fontId="36" fillId="0" borderId="17" xfId="0" applyNumberFormat="1" applyFont="1" applyBorder="1"/>
    <xf numFmtId="0" fontId="67" fillId="0" borderId="39" xfId="0" applyFont="1" applyBorder="1"/>
    <xf numFmtId="169" fontId="37" fillId="0" borderId="17" xfId="13" applyNumberFormat="1" applyFont="1" applyBorder="1" applyAlignment="1"/>
    <xf numFmtId="43" fontId="43" fillId="0" borderId="19" xfId="13" applyFont="1" applyBorder="1" applyAlignment="1"/>
    <xf numFmtId="0" fontId="25" fillId="0" borderId="9" xfId="0" applyFont="1" applyBorder="1"/>
    <xf numFmtId="0" fontId="25" fillId="0" borderId="36" xfId="0" applyFont="1" applyBorder="1"/>
    <xf numFmtId="0" fontId="68" fillId="11" borderId="90" xfId="0" applyFont="1" applyFill="1" applyBorder="1" applyAlignment="1">
      <alignment horizontal="right" wrapText="1"/>
    </xf>
    <xf numFmtId="0" fontId="69" fillId="0" borderId="0" xfId="0" applyFont="1"/>
    <xf numFmtId="43" fontId="69" fillId="0" borderId="0" xfId="1" applyFont="1" applyFill="1" applyBorder="1" applyAlignment="1"/>
    <xf numFmtId="43" fontId="25" fillId="0" borderId="0" xfId="0" applyNumberFormat="1" applyFont="1"/>
    <xf numFmtId="167" fontId="70" fillId="0" borderId="31" xfId="1" applyNumberFormat="1" applyFont="1" applyBorder="1" applyAlignment="1">
      <alignment horizontal="center" vertical="center"/>
    </xf>
    <xf numFmtId="0" fontId="71" fillId="0" borderId="0" xfId="0" applyFont="1"/>
    <xf numFmtId="0" fontId="73" fillId="0" borderId="85" xfId="12" applyFont="1" applyBorder="1"/>
    <xf numFmtId="0" fontId="73" fillId="0" borderId="17" xfId="12" applyFont="1" applyBorder="1"/>
    <xf numFmtId="0" fontId="74" fillId="0" borderId="17" xfId="12" applyFont="1" applyBorder="1"/>
    <xf numFmtId="0" fontId="73" fillId="0" borderId="16" xfId="12" applyFont="1" applyBorder="1" applyAlignment="1">
      <alignment horizontal="center"/>
    </xf>
    <xf numFmtId="0" fontId="73" fillId="0" borderId="47" xfId="12" applyFont="1" applyBorder="1"/>
    <xf numFmtId="0" fontId="75" fillId="0" borderId="29" xfId="12" applyFont="1" applyBorder="1"/>
    <xf numFmtId="0" fontId="73" fillId="0" borderId="0" xfId="12" applyFont="1"/>
    <xf numFmtId="43" fontId="73" fillId="0" borderId="18" xfId="13" applyFont="1" applyBorder="1"/>
    <xf numFmtId="0" fontId="73" fillId="0" borderId="18" xfId="12" applyFont="1" applyBorder="1" applyAlignment="1">
      <alignment horizontal="center"/>
    </xf>
    <xf numFmtId="43" fontId="74" fillId="0" borderId="18" xfId="12" applyNumberFormat="1" applyFont="1" applyBorder="1"/>
    <xf numFmtId="43" fontId="73" fillId="0" borderId="32" xfId="13" applyFont="1" applyBorder="1" applyAlignment="1"/>
    <xf numFmtId="0" fontId="73" fillId="0" borderId="14" xfId="12" applyFont="1" applyBorder="1"/>
    <xf numFmtId="0" fontId="76" fillId="0" borderId="39" xfId="0" applyFont="1" applyBorder="1"/>
    <xf numFmtId="2" fontId="76" fillId="0" borderId="17" xfId="0" applyNumberFormat="1" applyFont="1" applyBorder="1"/>
    <xf numFmtId="0" fontId="76" fillId="0" borderId="17" xfId="0" applyFont="1" applyBorder="1" applyAlignment="1">
      <alignment horizontal="center"/>
    </xf>
    <xf numFmtId="2" fontId="77" fillId="0" borderId="39" xfId="0" applyNumberFormat="1" applyFont="1" applyBorder="1"/>
    <xf numFmtId="43" fontId="77" fillId="0" borderId="17" xfId="13" applyFont="1" applyBorder="1" applyAlignment="1"/>
    <xf numFmtId="167" fontId="44" fillId="0" borderId="31" xfId="1" applyNumberFormat="1" applyFont="1" applyBorder="1" applyAlignment="1">
      <alignment horizontal="center" vertical="center"/>
    </xf>
    <xf numFmtId="164" fontId="76" fillId="0" borderId="17" xfId="0" applyNumberFormat="1" applyFont="1" applyBorder="1"/>
    <xf numFmtId="164" fontId="77" fillId="0" borderId="39" xfId="0" applyNumberFormat="1" applyFont="1" applyBorder="1"/>
    <xf numFmtId="0" fontId="73" fillId="0" borderId="34" xfId="12" applyFont="1" applyBorder="1"/>
    <xf numFmtId="0" fontId="77" fillId="0" borderId="17" xfId="0" applyFont="1" applyBorder="1"/>
    <xf numFmtId="0" fontId="78" fillId="0" borderId="39" xfId="0" applyFont="1" applyBorder="1"/>
    <xf numFmtId="43" fontId="77" fillId="0" borderId="18" xfId="0" applyNumberFormat="1" applyFont="1" applyBorder="1"/>
    <xf numFmtId="0" fontId="79" fillId="0" borderId="31" xfId="0" applyFont="1" applyBorder="1"/>
    <xf numFmtId="0" fontId="77" fillId="0" borderId="16" xfId="12" applyFont="1" applyBorder="1"/>
    <xf numFmtId="43" fontId="77" fillId="0" borderId="18" xfId="13" applyFont="1" applyBorder="1"/>
    <xf numFmtId="0" fontId="77" fillId="0" borderId="18" xfId="12" applyFont="1" applyBorder="1" applyAlignment="1">
      <alignment horizontal="center"/>
    </xf>
    <xf numFmtId="0" fontId="78" fillId="0" borderId="63" xfId="12" applyFont="1" applyBorder="1" applyAlignment="1">
      <alignment horizontal="center"/>
    </xf>
    <xf numFmtId="43" fontId="80" fillId="2" borderId="19" xfId="13" applyFont="1" applyFill="1" applyBorder="1" applyAlignment="1"/>
    <xf numFmtId="0" fontId="81" fillId="0" borderId="82" xfId="12" applyFont="1" applyBorder="1"/>
    <xf numFmtId="167" fontId="82" fillId="0" borderId="31" xfId="11" applyNumberFormat="1" applyFont="1" applyBorder="1"/>
    <xf numFmtId="167" fontId="39" fillId="0" borderId="31" xfId="1" applyNumberFormat="1" applyFont="1" applyBorder="1" applyAlignment="1">
      <alignment horizontal="center"/>
    </xf>
    <xf numFmtId="165" fontId="77" fillId="0" borderId="17" xfId="13" applyNumberFormat="1" applyFont="1" applyBorder="1" applyAlignment="1"/>
    <xf numFmtId="0" fontId="79" fillId="0" borderId="31" xfId="0" applyFont="1" applyBorder="1" applyAlignment="1">
      <alignment horizontal="center"/>
    </xf>
    <xf numFmtId="43" fontId="81" fillId="0" borderId="19" xfId="13" applyFont="1" applyBorder="1" applyAlignment="1"/>
    <xf numFmtId="0" fontId="83" fillId="0" borderId="0" xfId="0" applyFont="1"/>
    <xf numFmtId="170" fontId="77" fillId="0" borderId="17" xfId="13" applyNumberFormat="1" applyFont="1" applyBorder="1" applyAlignment="1"/>
    <xf numFmtId="171" fontId="77" fillId="0" borderId="17" xfId="13" applyNumberFormat="1" applyFont="1" applyBorder="1" applyAlignment="1"/>
    <xf numFmtId="0" fontId="49" fillId="0" borderId="0" xfId="0" applyFont="1"/>
    <xf numFmtId="172" fontId="77" fillId="0" borderId="17" xfId="13" applyNumberFormat="1" applyFont="1" applyBorder="1" applyAlignment="1"/>
    <xf numFmtId="169" fontId="77" fillId="0" borderId="17" xfId="13" applyNumberFormat="1" applyFont="1" applyBorder="1" applyAlignment="1"/>
    <xf numFmtId="43" fontId="1" fillId="2" borderId="18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5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right"/>
    </xf>
    <xf numFmtId="0" fontId="7" fillId="0" borderId="0" xfId="0" applyFont="1"/>
    <xf numFmtId="43" fontId="7" fillId="0" borderId="0" xfId="0" applyNumberFormat="1" applyFo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5" fillId="0" borderId="16" xfId="0" applyFont="1" applyBorder="1"/>
    <xf numFmtId="43" fontId="5" fillId="0" borderId="17" xfId="1" applyFont="1" applyBorder="1" applyAlignment="1">
      <alignment horizontal="center"/>
    </xf>
    <xf numFmtId="0" fontId="5" fillId="0" borderId="31" xfId="0" applyFont="1" applyBorder="1"/>
    <xf numFmtId="0" fontId="5" fillId="0" borderId="15" xfId="4" applyFont="1" applyBorder="1" applyAlignment="1">
      <alignment vertical="center"/>
    </xf>
    <xf numFmtId="0" fontId="5" fillId="0" borderId="39" xfId="4" applyFont="1" applyBorder="1" applyAlignment="1">
      <alignment vertical="center"/>
    </xf>
    <xf numFmtId="0" fontId="5" fillId="0" borderId="47" xfId="0" applyFont="1" applyBorder="1"/>
    <xf numFmtId="0" fontId="5" fillId="0" borderId="34" xfId="0" applyFont="1" applyBorder="1" applyAlignment="1">
      <alignment horizontal="center"/>
    </xf>
    <xf numFmtId="0" fontId="5" fillId="0" borderId="63" xfId="4" applyFont="1" applyBorder="1" applyAlignment="1">
      <alignment vertical="center"/>
    </xf>
    <xf numFmtId="0" fontId="5" fillId="0" borderId="62" xfId="0" applyFont="1" applyBorder="1" applyAlignment="1">
      <alignment horizontal="left"/>
    </xf>
    <xf numFmtId="0" fontId="5" fillId="0" borderId="29" xfId="0" applyFont="1" applyBorder="1"/>
    <xf numFmtId="43" fontId="5" fillId="0" borderId="63" xfId="1" applyFont="1" applyFill="1" applyBorder="1" applyAlignment="1"/>
    <xf numFmtId="43" fontId="5" fillId="0" borderId="62" xfId="1" applyFont="1" applyFill="1" applyBorder="1" applyAlignment="1"/>
    <xf numFmtId="43" fontId="5" fillId="0" borderId="29" xfId="1" applyFont="1" applyFill="1" applyBorder="1" applyAlignment="1"/>
    <xf numFmtId="0" fontId="5" fillId="0" borderId="82" xfId="0" applyFont="1" applyBorder="1"/>
    <xf numFmtId="0" fontId="7" fillId="0" borderId="11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5" fillId="0" borderId="37" xfId="0" applyFont="1" applyBorder="1"/>
    <xf numFmtId="0" fontId="5" fillId="0" borderId="37" xfId="0" applyFont="1" applyBorder="1" applyAlignment="1">
      <alignment horizontal="left" vertical="center"/>
    </xf>
    <xf numFmtId="43" fontId="5" fillId="0" borderId="19" xfId="0" applyNumberFormat="1" applyFont="1" applyBorder="1"/>
    <xf numFmtId="0" fontId="5" fillId="0" borderId="81" xfId="0" applyFont="1" applyBorder="1"/>
    <xf numFmtId="0" fontId="7" fillId="0" borderId="25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5" fillId="0" borderId="57" xfId="0" applyFont="1" applyBorder="1"/>
    <xf numFmtId="0" fontId="5" fillId="0" borderId="57" xfId="0" applyFont="1" applyBorder="1" applyAlignment="1">
      <alignment horizontal="left" vertical="center"/>
    </xf>
    <xf numFmtId="4" fontId="7" fillId="0" borderId="57" xfId="3" applyNumberFormat="1" applyFont="1" applyBorder="1" applyAlignment="1">
      <alignment horizontal="center" vertical="center"/>
    </xf>
    <xf numFmtId="4" fontId="7" fillId="0" borderId="19" xfId="3" applyNumberFormat="1" applyFont="1" applyBorder="1" applyAlignment="1">
      <alignment vertical="center"/>
    </xf>
    <xf numFmtId="0" fontId="7" fillId="0" borderId="46" xfId="3" applyFont="1" applyBorder="1" applyAlignment="1">
      <alignment vertical="center"/>
    </xf>
    <xf numFmtId="0" fontId="7" fillId="0" borderId="52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5" fillId="0" borderId="54" xfId="0" applyFont="1" applyBorder="1"/>
    <xf numFmtId="0" fontId="5" fillId="0" borderId="54" xfId="0" applyFont="1" applyBorder="1" applyAlignment="1">
      <alignment horizontal="right"/>
    </xf>
    <xf numFmtId="4" fontId="7" fillId="0" borderId="54" xfId="3" applyNumberFormat="1" applyFont="1" applyBorder="1" applyAlignment="1">
      <alignment horizontal="center" vertical="center"/>
    </xf>
    <xf numFmtId="0" fontId="7" fillId="0" borderId="54" xfId="0" applyFont="1" applyBorder="1" applyAlignment="1">
      <alignment horizontal="right"/>
    </xf>
    <xf numFmtId="0" fontId="7" fillId="0" borderId="91" xfId="0" applyFont="1" applyBorder="1" applyAlignment="1">
      <alignment horizontal="right"/>
    </xf>
    <xf numFmtId="0" fontId="5" fillId="0" borderId="6" xfId="0" applyFont="1" applyBorder="1"/>
    <xf numFmtId="0" fontId="5" fillId="0" borderId="35" xfId="0" applyFont="1" applyBorder="1"/>
    <xf numFmtId="0" fontId="5" fillId="0" borderId="44" xfId="0" applyFont="1" applyBorder="1"/>
    <xf numFmtId="43" fontId="7" fillId="0" borderId="0" xfId="1" applyFont="1" applyBorder="1" applyAlignment="1">
      <alignment horizontal="center"/>
    </xf>
    <xf numFmtId="43" fontId="5" fillId="0" borderId="0" xfId="0" applyNumberFormat="1" applyFont="1" applyAlignment="1">
      <alignment horizontal="left"/>
    </xf>
    <xf numFmtId="2" fontId="5" fillId="0" borderId="0" xfId="3" applyNumberFormat="1" applyFont="1" applyAlignment="1">
      <alignment vertical="center"/>
    </xf>
    <xf numFmtId="4" fontId="5" fillId="0" borderId="0" xfId="5" applyFont="1" applyAlignment="1">
      <alignment vertical="center"/>
    </xf>
    <xf numFmtId="4" fontId="5" fillId="0" borderId="0" xfId="5" applyFont="1" applyAlignment="1">
      <alignment horizontal="left" vertical="center"/>
    </xf>
    <xf numFmtId="4" fontId="5" fillId="0" borderId="0" xfId="5" applyFont="1" applyAlignment="1">
      <alignment horizontal="left" vertical="center" indent="2"/>
    </xf>
    <xf numFmtId="164" fontId="5" fillId="0" borderId="0" xfId="3" applyNumberFormat="1" applyFont="1" applyAlignment="1">
      <alignment horizontal="center" vertical="center"/>
    </xf>
    <xf numFmtId="4" fontId="5" fillId="0" borderId="0" xfId="5" applyFont="1" applyAlignment="1">
      <alignment horizontal="center" vertical="center"/>
    </xf>
    <xf numFmtId="164" fontId="5" fillId="0" borderId="0" xfId="3" applyNumberFormat="1" applyFont="1" applyAlignment="1">
      <alignment horizontal="left" vertical="center"/>
    </xf>
    <xf numFmtId="0" fontId="85" fillId="0" borderId="0" xfId="0" applyFont="1" applyAlignment="1">
      <alignment horizontal="right"/>
    </xf>
    <xf numFmtId="43" fontId="5" fillId="0" borderId="17" xfId="1" applyFont="1" applyBorder="1"/>
    <xf numFmtId="168" fontId="5" fillId="0" borderId="17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92" xfId="0" applyFont="1" applyBorder="1" applyAlignment="1">
      <alignment horizontal="left"/>
    </xf>
    <xf numFmtId="0" fontId="7" fillId="0" borderId="93" xfId="0" applyFont="1" applyBorder="1" applyAlignment="1">
      <alignment horizontal="left"/>
    </xf>
    <xf numFmtId="0" fontId="5" fillId="0" borderId="94" xfId="0" applyFont="1" applyBorder="1"/>
    <xf numFmtId="0" fontId="5" fillId="0" borderId="14" xfId="0" applyFont="1" applyBorder="1"/>
    <xf numFmtId="0" fontId="5" fillId="0" borderId="26" xfId="0" applyFont="1" applyBorder="1" applyAlignment="1">
      <alignment horizontal="left"/>
    </xf>
    <xf numFmtId="0" fontId="5" fillId="0" borderId="57" xfId="0" applyFont="1" applyBorder="1" applyAlignment="1">
      <alignment horizontal="left"/>
    </xf>
    <xf numFmtId="0" fontId="5" fillId="0" borderId="27" xfId="0" applyFont="1" applyBorder="1"/>
    <xf numFmtId="0" fontId="5" fillId="0" borderId="17" xfId="0" applyFont="1" applyBorder="1"/>
    <xf numFmtId="0" fontId="5" fillId="0" borderId="21" xfId="0" applyFont="1" applyBorder="1"/>
    <xf numFmtId="0" fontId="5" fillId="0" borderId="22" xfId="0" applyFont="1" applyBorder="1" applyAlignment="1">
      <alignment horizontal="left"/>
    </xf>
    <xf numFmtId="0" fontId="5" fillId="0" borderId="61" xfId="0" applyFont="1" applyBorder="1" applyAlignment="1">
      <alignment horizontal="left"/>
    </xf>
    <xf numFmtId="0" fontId="5" fillId="0" borderId="23" xfId="0" applyFont="1" applyBorder="1"/>
    <xf numFmtId="0" fontId="5" fillId="0" borderId="24" xfId="0" applyFont="1" applyBorder="1"/>
    <xf numFmtId="0" fontId="5" fillId="0" borderId="36" xfId="0" applyFont="1" applyBorder="1"/>
    <xf numFmtId="43" fontId="5" fillId="0" borderId="13" xfId="0" applyNumberFormat="1" applyFont="1" applyBorder="1"/>
    <xf numFmtId="0" fontId="5" fillId="0" borderId="73" xfId="0" applyFont="1" applyBorder="1"/>
    <xf numFmtId="0" fontId="5" fillId="0" borderId="95" xfId="0" applyFont="1" applyBorder="1"/>
    <xf numFmtId="0" fontId="5" fillId="0" borderId="95" xfId="0" applyFont="1" applyBorder="1" applyAlignment="1">
      <alignment horizontal="right"/>
    </xf>
    <xf numFmtId="0" fontId="5" fillId="0" borderId="96" xfId="0" applyFont="1" applyBorder="1"/>
    <xf numFmtId="0" fontId="5" fillId="0" borderId="0" xfId="3" applyFont="1" applyAlignment="1">
      <alignment horizontal="left"/>
    </xf>
    <xf numFmtId="0" fontId="5" fillId="0" borderId="0" xfId="3" applyFont="1" applyAlignment="1">
      <alignment horizontal="left" vertical="center" indent="1"/>
    </xf>
    <xf numFmtId="0" fontId="5" fillId="0" borderId="5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3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3" fontId="5" fillId="0" borderId="57" xfId="0" applyNumberFormat="1" applyFont="1" applyBorder="1"/>
    <xf numFmtId="43" fontId="5" fillId="0" borderId="26" xfId="0" applyNumberFormat="1" applyFont="1" applyBorder="1" applyAlignment="1">
      <alignment horizontal="center" vertical="center"/>
    </xf>
    <xf numFmtId="43" fontId="86" fillId="0" borderId="20" xfId="0" applyNumberFormat="1" applyFont="1" applyBorder="1" applyAlignment="1">
      <alignment horizontal="center"/>
    </xf>
    <xf numFmtId="173" fontId="5" fillId="0" borderId="41" xfId="1" applyNumberFormat="1" applyFont="1" applyBorder="1"/>
    <xf numFmtId="43" fontId="5" fillId="0" borderId="97" xfId="1" applyFont="1" applyBorder="1"/>
    <xf numFmtId="43" fontId="5" fillId="0" borderId="97" xfId="1" applyFont="1" applyBorder="1" applyAlignment="1">
      <alignment horizontal="center"/>
    </xf>
    <xf numFmtId="173" fontId="7" fillId="0" borderId="0" xfId="1" applyNumberFormat="1" applyFont="1" applyBorder="1"/>
    <xf numFmtId="43" fontId="5" fillId="0" borderId="0" xfId="1" applyFont="1" applyBorder="1"/>
    <xf numFmtId="43" fontId="5" fillId="0" borderId="0" xfId="1" applyFont="1" applyBorder="1" applyAlignment="1">
      <alignment horizontal="center"/>
    </xf>
    <xf numFmtId="173" fontId="7" fillId="0" borderId="0" xfId="1" applyNumberFormat="1" applyFont="1"/>
    <xf numFmtId="43" fontId="5" fillId="0" borderId="0" xfId="1" applyFont="1"/>
    <xf numFmtId="0" fontId="5" fillId="0" borderId="39" xfId="0" applyFont="1" applyBorder="1"/>
    <xf numFmtId="0" fontId="87" fillId="0" borderId="39" xfId="0" applyFont="1" applyBorder="1"/>
    <xf numFmtId="0" fontId="5" fillId="0" borderId="98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/>
    </xf>
    <xf numFmtId="0" fontId="5" fillId="0" borderId="102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/>
    </xf>
    <xf numFmtId="173" fontId="5" fillId="0" borderId="17" xfId="1" applyNumberFormat="1" applyFont="1" applyBorder="1"/>
    <xf numFmtId="0" fontId="5" fillId="0" borderId="18" xfId="0" applyFont="1" applyBorder="1"/>
    <xf numFmtId="43" fontId="5" fillId="0" borderId="18" xfId="1" applyFont="1" applyBorder="1"/>
    <xf numFmtId="173" fontId="5" fillId="0" borderId="18" xfId="1" applyNumberFormat="1" applyFont="1" applyBorder="1"/>
    <xf numFmtId="43" fontId="5" fillId="0" borderId="17" xfId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03" xfId="0" applyFont="1" applyBorder="1"/>
    <xf numFmtId="0" fontId="7" fillId="0" borderId="103" xfId="0" applyFont="1" applyBorder="1" applyAlignment="1">
      <alignment horizontal="center"/>
    </xf>
    <xf numFmtId="173" fontId="5" fillId="0" borderId="103" xfId="1" applyNumberFormat="1" applyFont="1" applyFill="1" applyBorder="1"/>
    <xf numFmtId="173" fontId="5" fillId="0" borderId="0" xfId="1" applyNumberFormat="1" applyFont="1" applyFill="1" applyBorder="1"/>
    <xf numFmtId="4" fontId="5" fillId="0" borderId="0" xfId="0" applyNumberFormat="1" applyFont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/>
    </xf>
    <xf numFmtId="43" fontId="5" fillId="0" borderId="20" xfId="1" applyFont="1" applyBorder="1"/>
    <xf numFmtId="0" fontId="5" fillId="0" borderId="46" xfId="0" applyFont="1" applyBorder="1" applyAlignment="1">
      <alignment horizontal="center" vertical="center"/>
    </xf>
    <xf numFmtId="43" fontId="7" fillId="0" borderId="97" xfId="1" applyFont="1" applyBorder="1"/>
    <xf numFmtId="43" fontId="7" fillId="0" borderId="106" xfId="1" applyFont="1" applyBorder="1"/>
    <xf numFmtId="43" fontId="5" fillId="0" borderId="106" xfId="1" applyFont="1" applyBorder="1"/>
    <xf numFmtId="43" fontId="7" fillId="0" borderId="19" xfId="1" applyFont="1" applyBorder="1"/>
    <xf numFmtId="0" fontId="7" fillId="0" borderId="80" xfId="0" applyFont="1" applyBorder="1"/>
    <xf numFmtId="4" fontId="5" fillId="0" borderId="0" xfId="0" applyNumberFormat="1" applyFont="1"/>
    <xf numFmtId="0" fontId="87" fillId="0" borderId="0" xfId="0" applyFont="1" applyAlignment="1">
      <alignment horizontal="right"/>
    </xf>
    <xf numFmtId="0" fontId="87" fillId="0" borderId="39" xfId="0" applyFont="1" applyBorder="1" applyAlignment="1">
      <alignment horizontal="right"/>
    </xf>
    <xf numFmtId="0" fontId="5" fillId="0" borderId="98" xfId="0" applyFont="1" applyBorder="1" applyAlignment="1">
      <alignment horizontal="center"/>
    </xf>
    <xf numFmtId="43" fontId="7" fillId="0" borderId="102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60" xfId="0" applyFont="1" applyBorder="1"/>
    <xf numFmtId="43" fontId="7" fillId="0" borderId="103" xfId="1" applyFont="1" applyFill="1" applyBorder="1"/>
    <xf numFmtId="43" fontId="7" fillId="0" borderId="0" xfId="1" applyFont="1" applyFill="1" applyBorder="1"/>
    <xf numFmtId="0" fontId="88" fillId="10" borderId="0" xfId="16" applyFill="1"/>
    <xf numFmtId="0" fontId="89" fillId="10" borderId="57" xfId="16" applyFont="1" applyFill="1" applyBorder="1" applyAlignment="1">
      <alignment horizontal="left"/>
    </xf>
    <xf numFmtId="0" fontId="89" fillId="10" borderId="57" xfId="16" applyFont="1" applyFill="1" applyBorder="1" applyAlignment="1">
      <alignment horizontal="centerContinuous"/>
    </xf>
    <xf numFmtId="0" fontId="90" fillId="10" borderId="57" xfId="16" applyFont="1" applyFill="1" applyBorder="1"/>
    <xf numFmtId="2" fontId="89" fillId="10" borderId="57" xfId="16" applyNumberFormat="1" applyFont="1" applyFill="1" applyBorder="1" applyAlignment="1">
      <alignment horizontal="centerContinuous"/>
    </xf>
    <xf numFmtId="174" fontId="89" fillId="10" borderId="57" xfId="16" applyNumberFormat="1" applyFont="1" applyFill="1" applyBorder="1" applyAlignment="1">
      <alignment horizontal="centerContinuous"/>
    </xf>
    <xf numFmtId="3" fontId="89" fillId="10" borderId="57" xfId="16" applyNumberFormat="1" applyFont="1" applyFill="1" applyBorder="1" applyAlignment="1">
      <alignment horizontal="centerContinuous"/>
    </xf>
    <xf numFmtId="0" fontId="90" fillId="10" borderId="57" xfId="16" applyFont="1" applyFill="1" applyBorder="1" applyAlignment="1">
      <alignment horizontal="centerContinuous"/>
    </xf>
    <xf numFmtId="2" fontId="89" fillId="10" borderId="57" xfId="16" applyNumberFormat="1" applyFont="1" applyFill="1" applyBorder="1"/>
    <xf numFmtId="174" fontId="89" fillId="10" borderId="57" xfId="16" applyNumberFormat="1" applyFont="1" applyFill="1" applyBorder="1"/>
    <xf numFmtId="49" fontId="90" fillId="10" borderId="57" xfId="16" applyNumberFormat="1" applyFont="1" applyFill="1" applyBorder="1"/>
    <xf numFmtId="3" fontId="90" fillId="10" borderId="57" xfId="16" applyNumberFormat="1" applyFont="1" applyFill="1" applyBorder="1"/>
    <xf numFmtId="175" fontId="90" fillId="10" borderId="57" xfId="16" applyNumberFormat="1" applyFont="1" applyFill="1" applyBorder="1"/>
    <xf numFmtId="0" fontId="89" fillId="10" borderId="0" xfId="16" applyFont="1" applyFill="1" applyAlignment="1">
      <alignment horizontal="left"/>
    </xf>
    <xf numFmtId="0" fontId="89" fillId="10" borderId="0" xfId="16" applyFont="1" applyFill="1" applyAlignment="1">
      <alignment horizontal="centerContinuous"/>
    </xf>
    <xf numFmtId="2" fontId="89" fillId="10" borderId="0" xfId="16" applyNumberFormat="1" applyFont="1" applyFill="1"/>
    <xf numFmtId="174" fontId="89" fillId="10" borderId="0" xfId="16" applyNumberFormat="1" applyFont="1" applyFill="1" applyAlignment="1">
      <alignment horizontal="centerContinuous"/>
    </xf>
    <xf numFmtId="3" fontId="89" fillId="10" borderId="0" xfId="16" applyNumberFormat="1" applyFont="1" applyFill="1" applyAlignment="1">
      <alignment horizontal="centerContinuous"/>
    </xf>
    <xf numFmtId="0" fontId="89" fillId="10" borderId="109" xfId="16" applyFont="1" applyFill="1" applyBorder="1" applyAlignment="1">
      <alignment horizontal="center"/>
    </xf>
    <xf numFmtId="0" fontId="89" fillId="10" borderId="110" xfId="16" applyFont="1" applyFill="1" applyBorder="1" applyAlignment="1">
      <alignment horizontal="centerContinuous"/>
    </xf>
    <xf numFmtId="0" fontId="89" fillId="10" borderId="111" xfId="16" applyFont="1" applyFill="1" applyBorder="1" applyAlignment="1">
      <alignment horizontal="centerContinuous"/>
    </xf>
    <xf numFmtId="2" fontId="89" fillId="10" borderId="109" xfId="16" applyNumberFormat="1" applyFont="1" applyFill="1" applyBorder="1" applyAlignment="1">
      <alignment horizontal="centerContinuous"/>
    </xf>
    <xf numFmtId="0" fontId="89" fillId="10" borderId="109" xfId="16" applyFont="1" applyFill="1" applyBorder="1" applyAlignment="1">
      <alignment horizontal="centerContinuous"/>
    </xf>
    <xf numFmtId="174" fontId="89" fillId="10" borderId="49" xfId="16" applyNumberFormat="1" applyFont="1" applyFill="1" applyBorder="1" applyAlignment="1">
      <alignment horizontal="centerContinuous"/>
    </xf>
    <xf numFmtId="3" fontId="89" fillId="10" borderId="49" xfId="16" applyNumberFormat="1" applyFont="1" applyFill="1" applyBorder="1" applyAlignment="1">
      <alignment horizontal="centerContinuous"/>
    </xf>
    <xf numFmtId="0" fontId="89" fillId="10" borderId="56" xfId="16" applyFont="1" applyFill="1" applyBorder="1" applyAlignment="1">
      <alignment horizontal="center"/>
    </xf>
    <xf numFmtId="0" fontId="89" fillId="10" borderId="53" xfId="16" applyFont="1" applyFill="1" applyBorder="1" applyAlignment="1">
      <alignment horizontal="left"/>
    </xf>
    <xf numFmtId="0" fontId="89" fillId="10" borderId="55" xfId="16" applyFont="1" applyFill="1" applyBorder="1" applyAlignment="1">
      <alignment horizontal="left"/>
    </xf>
    <xf numFmtId="2" fontId="89" fillId="10" borderId="53" xfId="16" applyNumberFormat="1" applyFont="1" applyFill="1" applyBorder="1" applyAlignment="1">
      <alignment horizontal="centerContinuous"/>
    </xf>
    <xf numFmtId="0" fontId="89" fillId="10" borderId="55" xfId="16" applyFont="1" applyFill="1" applyBorder="1" applyAlignment="1">
      <alignment horizontal="centerContinuous"/>
    </xf>
    <xf numFmtId="174" fontId="91" fillId="10" borderId="56" xfId="16" applyNumberFormat="1" applyFont="1" applyFill="1" applyBorder="1" applyAlignment="1">
      <alignment horizontal="center"/>
    </xf>
    <xf numFmtId="3" fontId="89" fillId="10" borderId="56" xfId="16" applyNumberFormat="1" applyFont="1" applyFill="1" applyBorder="1" applyAlignment="1">
      <alignment horizontal="center"/>
    </xf>
    <xf numFmtId="0" fontId="88" fillId="10" borderId="60" xfId="16" applyFill="1" applyBorder="1" applyAlignment="1">
      <alignment horizontal="center"/>
    </xf>
    <xf numFmtId="0" fontId="92" fillId="10" borderId="110" xfId="16" applyFont="1" applyFill="1" applyBorder="1"/>
    <xf numFmtId="0" fontId="93" fillId="10" borderId="111" xfId="16" applyFont="1" applyFill="1" applyBorder="1"/>
    <xf numFmtId="0" fontId="88" fillId="10" borderId="59" xfId="16" applyFill="1" applyBorder="1" applyAlignment="1">
      <alignment horizontal="right"/>
    </xf>
    <xf numFmtId="0" fontId="88" fillId="10" borderId="32" xfId="16" applyFill="1" applyBorder="1" applyAlignment="1">
      <alignment horizontal="left"/>
    </xf>
    <xf numFmtId="4" fontId="88" fillId="10" borderId="60" xfId="16" applyNumberFormat="1" applyFill="1" applyBorder="1" applyAlignment="1">
      <alignment horizontal="right"/>
    </xf>
    <xf numFmtId="4" fontId="88" fillId="10" borderId="60" xfId="16" applyNumberFormat="1" applyFill="1" applyBorder="1"/>
    <xf numFmtId="0" fontId="88" fillId="10" borderId="59" xfId="17" applyFont="1" applyFill="1" applyBorder="1"/>
    <xf numFmtId="0" fontId="88" fillId="10" borderId="32" xfId="16" applyFill="1" applyBorder="1"/>
    <xf numFmtId="0" fontId="88" fillId="10" borderId="32" xfId="0" applyFont="1" applyFill="1" applyBorder="1" applyAlignment="1">
      <alignment horizontal="left"/>
    </xf>
    <xf numFmtId="4" fontId="88" fillId="10" borderId="60" xfId="0" applyNumberFormat="1" applyFont="1" applyFill="1" applyBorder="1" applyAlignment="1">
      <alignment horizontal="right"/>
    </xf>
    <xf numFmtId="4" fontId="88" fillId="10" borderId="60" xfId="0" applyNumberFormat="1" applyFont="1" applyFill="1" applyBorder="1"/>
    <xf numFmtId="0" fontId="88" fillId="10" borderId="59" xfId="16" applyFill="1" applyBorder="1"/>
    <xf numFmtId="0" fontId="92" fillId="10" borderId="59" xfId="16" applyFont="1" applyFill="1" applyBorder="1"/>
    <xf numFmtId="4" fontId="88" fillId="10" borderId="60" xfId="0" applyNumberFormat="1" applyFont="1" applyFill="1" applyBorder="1" applyAlignment="1">
      <alignment horizontal="right" vertical="center"/>
    </xf>
    <xf numFmtId="4" fontId="88" fillId="10" borderId="60" xfId="17" applyNumberFormat="1" applyFont="1" applyFill="1" applyBorder="1" applyAlignment="1">
      <alignment horizontal="right"/>
    </xf>
    <xf numFmtId="0" fontId="93" fillId="10" borderId="32" xfId="16" applyFont="1" applyFill="1" applyBorder="1"/>
    <xf numFmtId="21" fontId="88" fillId="10" borderId="59" xfId="16" applyNumberFormat="1" applyFill="1" applyBorder="1"/>
    <xf numFmtId="3" fontId="88" fillId="10" borderId="59" xfId="16" applyNumberFormat="1" applyFill="1" applyBorder="1" applyAlignment="1">
      <alignment horizontal="right"/>
    </xf>
    <xf numFmtId="0" fontId="88" fillId="10" borderId="56" xfId="16" applyFill="1" applyBorder="1" applyAlignment="1">
      <alignment horizontal="center"/>
    </xf>
    <xf numFmtId="0" fontId="89" fillId="10" borderId="53" xfId="16" applyFont="1" applyFill="1" applyBorder="1" applyAlignment="1">
      <alignment horizontal="right"/>
    </xf>
    <xf numFmtId="0" fontId="89" fillId="10" borderId="55" xfId="16" applyFont="1" applyFill="1" applyBorder="1" applyAlignment="1">
      <alignment horizontal="right"/>
    </xf>
    <xf numFmtId="0" fontId="88" fillId="10" borderId="54" xfId="16" applyFill="1" applyBorder="1" applyAlignment="1">
      <alignment horizontal="right"/>
    </xf>
    <xf numFmtId="0" fontId="88" fillId="10" borderId="55" xfId="0" applyFont="1" applyFill="1" applyBorder="1" applyAlignment="1">
      <alignment horizontal="right"/>
    </xf>
    <xf numFmtId="4" fontId="88" fillId="10" borderId="53" xfId="0" applyNumberFormat="1" applyFont="1" applyFill="1" applyBorder="1" applyAlignment="1">
      <alignment horizontal="right" vertical="center"/>
    </xf>
    <xf numFmtId="4" fontId="89" fillId="10" borderId="53" xfId="16" applyNumberFormat="1" applyFont="1" applyFill="1" applyBorder="1" applyAlignment="1">
      <alignment horizontal="right" vertical="center"/>
    </xf>
    <xf numFmtId="4" fontId="89" fillId="10" borderId="53" xfId="0" applyNumberFormat="1" applyFont="1" applyFill="1" applyBorder="1" applyAlignment="1">
      <alignment horizontal="right" vertical="center"/>
    </xf>
    <xf numFmtId="0" fontId="89" fillId="10" borderId="59" xfId="16" applyFont="1" applyFill="1" applyBorder="1" applyAlignment="1">
      <alignment horizontal="right"/>
    </xf>
    <xf numFmtId="0" fontId="89" fillId="10" borderId="0" xfId="16" applyFont="1" applyFill="1" applyAlignment="1">
      <alignment horizontal="right"/>
    </xf>
    <xf numFmtId="0" fontId="88" fillId="10" borderId="32" xfId="0" applyFont="1" applyFill="1" applyBorder="1" applyAlignment="1">
      <alignment horizontal="right"/>
    </xf>
    <xf numFmtId="4" fontId="89" fillId="10" borderId="60" xfId="16" applyNumberFormat="1" applyFont="1" applyFill="1" applyBorder="1" applyAlignment="1">
      <alignment horizontal="right" vertical="center"/>
    </xf>
    <xf numFmtId="4" fontId="89" fillId="10" borderId="60" xfId="0" applyNumberFormat="1" applyFont="1" applyFill="1" applyBorder="1" applyAlignment="1">
      <alignment horizontal="right" vertical="center"/>
    </xf>
    <xf numFmtId="0" fontId="88" fillId="10" borderId="60" xfId="0" applyFont="1" applyFill="1" applyBorder="1" applyAlignment="1">
      <alignment horizontal="center"/>
    </xf>
    <xf numFmtId="0" fontId="92" fillId="10" borderId="0" xfId="0" applyFont="1" applyFill="1"/>
    <xf numFmtId="0" fontId="93" fillId="10" borderId="32" xfId="0" applyFont="1" applyFill="1" applyBorder="1"/>
    <xf numFmtId="0" fontId="88" fillId="10" borderId="0" xfId="0" applyFont="1" applyFill="1" applyAlignment="1">
      <alignment horizontal="right"/>
    </xf>
    <xf numFmtId="0" fontId="88" fillId="10" borderId="0" xfId="0" applyFont="1" applyFill="1" applyAlignment="1">
      <alignment horizontal="left"/>
    </xf>
    <xf numFmtId="0" fontId="88" fillId="10" borderId="0" xfId="0" applyFont="1" applyFill="1"/>
    <xf numFmtId="0" fontId="88" fillId="10" borderId="32" xfId="0" applyFont="1" applyFill="1" applyBorder="1"/>
    <xf numFmtId="176" fontId="88" fillId="10" borderId="60" xfId="0" applyNumberFormat="1" applyFont="1" applyFill="1" applyBorder="1" applyAlignment="1">
      <alignment horizontal="center"/>
    </xf>
    <xf numFmtId="0" fontId="89" fillId="10" borderId="54" xfId="16" applyFont="1" applyFill="1" applyBorder="1" applyAlignment="1">
      <alignment horizontal="right"/>
    </xf>
    <xf numFmtId="0" fontId="88" fillId="10" borderId="53" xfId="16" applyFill="1" applyBorder="1" applyAlignment="1">
      <alignment horizontal="right"/>
    </xf>
    <xf numFmtId="0" fontId="88" fillId="10" borderId="54" xfId="0" applyFont="1" applyFill="1" applyBorder="1" applyAlignment="1">
      <alignment horizontal="left"/>
    </xf>
    <xf numFmtId="4" fontId="88" fillId="10" borderId="53" xfId="0" applyNumberFormat="1" applyFont="1" applyFill="1" applyBorder="1" applyAlignment="1">
      <alignment horizontal="right"/>
    </xf>
    <xf numFmtId="4" fontId="89" fillId="10" borderId="53" xfId="16" applyNumberFormat="1" applyFont="1" applyFill="1" applyBorder="1"/>
    <xf numFmtId="4" fontId="88" fillId="10" borderId="56" xfId="0" applyNumberFormat="1" applyFont="1" applyFill="1" applyBorder="1"/>
    <xf numFmtId="4" fontId="89" fillId="10" borderId="60" xfId="16" applyNumberFormat="1" applyFont="1" applyFill="1" applyBorder="1"/>
    <xf numFmtId="2" fontId="88" fillId="10" borderId="60" xfId="0" applyNumberFormat="1" applyFont="1" applyFill="1" applyBorder="1" applyAlignment="1">
      <alignment horizontal="center"/>
    </xf>
    <xf numFmtId="4" fontId="88" fillId="10" borderId="32" xfId="0" applyNumberFormat="1" applyFont="1" applyFill="1" applyBorder="1" applyAlignment="1">
      <alignment horizontal="right"/>
    </xf>
    <xf numFmtId="0" fontId="89" fillId="10" borderId="32" xfId="0" applyFont="1" applyFill="1" applyBorder="1" applyAlignment="1">
      <alignment horizontal="right"/>
    </xf>
    <xf numFmtId="4" fontId="89" fillId="10" borderId="57" xfId="16" applyNumberFormat="1" applyFont="1" applyFill="1" applyBorder="1" applyAlignment="1">
      <alignment horizontal="centerContinuous"/>
    </xf>
    <xf numFmtId="0" fontId="88" fillId="10" borderId="57" xfId="16" applyFill="1" applyBorder="1"/>
    <xf numFmtId="4" fontId="90" fillId="10" borderId="57" xfId="16" applyNumberFormat="1" applyFont="1" applyFill="1" applyBorder="1" applyAlignment="1">
      <alignment horizontal="centerContinuous"/>
    </xf>
    <xf numFmtId="0" fontId="94" fillId="10" borderId="57" xfId="16" applyFont="1" applyFill="1" applyBorder="1"/>
    <xf numFmtId="4" fontId="89" fillId="10" borderId="0" xfId="16" applyNumberFormat="1" applyFont="1" applyFill="1" applyAlignment="1">
      <alignment horizontal="centerContinuous"/>
    </xf>
    <xf numFmtId="4" fontId="89" fillId="10" borderId="49" xfId="16" applyNumberFormat="1" applyFont="1" applyFill="1" applyBorder="1" applyAlignment="1">
      <alignment horizontal="centerContinuous"/>
    </xf>
    <xf numFmtId="0" fontId="89" fillId="10" borderId="109" xfId="16" applyFont="1" applyFill="1" applyBorder="1" applyAlignment="1">
      <alignment horizontal="center" vertical="center"/>
    </xf>
    <xf numFmtId="4" fontId="89" fillId="10" borderId="56" xfId="16" applyNumberFormat="1" applyFont="1" applyFill="1" applyBorder="1" applyAlignment="1">
      <alignment horizontal="center"/>
    </xf>
    <xf numFmtId="0" fontId="88" fillId="10" borderId="56" xfId="16" applyFill="1" applyBorder="1"/>
    <xf numFmtId="4" fontId="88" fillId="10" borderId="32" xfId="16" applyNumberFormat="1" applyFill="1" applyBorder="1"/>
    <xf numFmtId="4" fontId="89" fillId="10" borderId="56" xfId="16" applyNumberFormat="1" applyFont="1" applyFill="1" applyBorder="1" applyAlignment="1">
      <alignment horizontal="right" vertical="center"/>
    </xf>
    <xf numFmtId="4" fontId="89" fillId="10" borderId="56" xfId="16" applyNumberFormat="1" applyFont="1" applyFill="1" applyBorder="1"/>
    <xf numFmtId="4" fontId="89" fillId="10" borderId="32" xfId="16" applyNumberFormat="1" applyFont="1" applyFill="1" applyBorder="1"/>
    <xf numFmtId="4" fontId="89" fillId="10" borderId="60" xfId="0" applyNumberFormat="1" applyFont="1" applyFill="1" applyBorder="1" applyAlignment="1">
      <alignment horizontal="right"/>
    </xf>
    <xf numFmtId="4" fontId="88" fillId="10" borderId="32" xfId="0" applyNumberFormat="1" applyFont="1" applyFill="1" applyBorder="1"/>
    <xf numFmtId="4" fontId="89" fillId="10" borderId="55" xfId="16" applyNumberFormat="1" applyFont="1" applyFill="1" applyBorder="1"/>
    <xf numFmtId="0" fontId="88" fillId="10" borderId="55" xfId="16" applyFill="1" applyBorder="1"/>
    <xf numFmtId="174" fontId="88" fillId="10" borderId="32" xfId="16" applyNumberFormat="1" applyFill="1" applyBorder="1"/>
    <xf numFmtId="0" fontId="88" fillId="10" borderId="32" xfId="16" applyFill="1" applyBorder="1" applyAlignment="1">
      <alignment wrapText="1"/>
    </xf>
    <xf numFmtId="0" fontId="88" fillId="10" borderId="0" xfId="16" applyFill="1" applyAlignment="1">
      <alignment horizontal="right" vertical="top"/>
    </xf>
    <xf numFmtId="0" fontId="88" fillId="10" borderId="0" xfId="16" applyFill="1" applyAlignment="1">
      <alignment horizontal="left" vertical="top"/>
    </xf>
    <xf numFmtId="4" fontId="88" fillId="10" borderId="60" xfId="16" applyNumberFormat="1" applyFill="1" applyBorder="1" applyAlignment="1">
      <alignment horizontal="right" vertical="top"/>
    </xf>
    <xf numFmtId="4" fontId="88" fillId="10" borderId="60" xfId="16" applyNumberFormat="1" applyFill="1" applyBorder="1" applyAlignment="1">
      <alignment vertical="top"/>
    </xf>
    <xf numFmtId="0" fontId="88" fillId="10" borderId="20" xfId="16" applyFill="1" applyBorder="1" applyAlignment="1">
      <alignment horizontal="center" vertical="top"/>
    </xf>
    <xf numFmtId="0" fontId="89" fillId="10" borderId="26" xfId="16" applyFont="1" applyFill="1" applyBorder="1"/>
    <xf numFmtId="0" fontId="89" fillId="10" borderId="27" xfId="16" applyFont="1" applyFill="1" applyBorder="1" applyAlignment="1">
      <alignment horizontal="right"/>
    </xf>
    <xf numFmtId="2" fontId="89" fillId="10" borderId="26" xfId="16" applyNumberFormat="1" applyFont="1" applyFill="1" applyBorder="1" applyAlignment="1">
      <alignment horizontal="right"/>
    </xf>
    <xf numFmtId="0" fontId="89" fillId="10" borderId="27" xfId="16" applyFont="1" applyFill="1" applyBorder="1" applyAlignment="1">
      <alignment horizontal="left"/>
    </xf>
    <xf numFmtId="4" fontId="89" fillId="10" borderId="20" xfId="16" applyNumberFormat="1" applyFont="1" applyFill="1" applyBorder="1" applyAlignment="1">
      <alignment horizontal="right"/>
    </xf>
    <xf numFmtId="4" fontId="89" fillId="10" borderId="20" xfId="16" applyNumberFormat="1" applyFont="1" applyFill="1" applyBorder="1"/>
    <xf numFmtId="4" fontId="89" fillId="10" borderId="20" xfId="16" applyNumberFormat="1" applyFont="1" applyFill="1" applyBorder="1" applyAlignment="1">
      <alignment vertical="top" wrapText="1"/>
    </xf>
    <xf numFmtId="0" fontId="89" fillId="10" borderId="53" xfId="16" applyFont="1" applyFill="1" applyBorder="1"/>
    <xf numFmtId="2" fontId="89" fillId="10" borderId="53" xfId="16" applyNumberFormat="1" applyFont="1" applyFill="1" applyBorder="1" applyAlignment="1">
      <alignment horizontal="right"/>
    </xf>
    <xf numFmtId="4" fontId="89" fillId="10" borderId="56" xfId="16" applyNumberFormat="1" applyFont="1" applyFill="1" applyBorder="1" applyAlignment="1">
      <alignment horizontal="right"/>
    </xf>
    <xf numFmtId="4" fontId="89" fillId="10" borderId="56" xfId="16" applyNumberFormat="1" applyFont="1" applyFill="1" applyBorder="1" applyAlignment="1">
      <alignment vertical="top" wrapText="1"/>
    </xf>
    <xf numFmtId="4" fontId="89" fillId="10" borderId="27" xfId="16" applyNumberFormat="1" applyFont="1" applyFill="1" applyBorder="1"/>
    <xf numFmtId="0" fontId="88" fillId="10" borderId="27" xfId="16" applyFill="1" applyBorder="1"/>
    <xf numFmtId="0" fontId="0" fillId="0" borderId="54" xfId="0" applyBorder="1"/>
    <xf numFmtId="0" fontId="0" fillId="0" borderId="0" xfId="0" applyAlignment="1">
      <alignment horizontal="center"/>
    </xf>
    <xf numFmtId="0" fontId="95" fillId="0" borderId="0" xfId="0" applyFont="1" applyAlignment="1">
      <alignment horizontal="center"/>
    </xf>
    <xf numFmtId="0" fontId="0" fillId="0" borderId="54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0" xfId="0" applyFill="1"/>
    <xf numFmtId="0" fontId="0" fillId="12" borderId="0" xfId="0" applyFill="1"/>
    <xf numFmtId="0" fontId="0" fillId="13" borderId="0" xfId="0" applyFill="1" applyAlignment="1">
      <alignment horizontal="center"/>
    </xf>
    <xf numFmtId="0" fontId="0" fillId="14" borderId="0" xfId="0" applyFill="1" applyAlignment="1">
      <alignment horizontal="center"/>
    </xf>
    <xf numFmtId="9" fontId="0" fillId="0" borderId="0" xfId="0" applyNumberFormat="1"/>
    <xf numFmtId="0" fontId="0" fillId="15" borderId="0" xfId="0" applyFill="1" applyAlignment="1">
      <alignment horizontal="center"/>
    </xf>
    <xf numFmtId="0" fontId="0" fillId="16" borderId="0" xfId="0" applyFill="1"/>
    <xf numFmtId="2" fontId="0" fillId="2" borderId="0" xfId="0" applyNumberFormat="1" applyFill="1"/>
    <xf numFmtId="2" fontId="0" fillId="0" borderId="0" xfId="0" applyNumberFormat="1"/>
    <xf numFmtId="0" fontId="0" fillId="2" borderId="0" xfId="0" applyFill="1" applyAlignment="1">
      <alignment horizontal="center"/>
    </xf>
    <xf numFmtId="176" fontId="0" fillId="2" borderId="0" xfId="0" applyNumberFormat="1" applyFill="1" applyAlignment="1">
      <alignment horizontal="center"/>
    </xf>
    <xf numFmtId="2" fontId="0" fillId="17" borderId="0" xfId="0" applyNumberFormat="1" applyFill="1"/>
    <xf numFmtId="2" fontId="0" fillId="2" borderId="0" xfId="0" applyNumberFormat="1" applyFill="1" applyAlignment="1">
      <alignment horizontal="center"/>
    </xf>
    <xf numFmtId="2" fontId="0" fillId="18" borderId="0" xfId="0" applyNumberFormat="1" applyFill="1"/>
    <xf numFmtId="176" fontId="0" fillId="2" borderId="0" xfId="0" applyNumberFormat="1" applyFill="1"/>
    <xf numFmtId="0" fontId="0" fillId="3" borderId="0" xfId="0" applyFill="1"/>
    <xf numFmtId="0" fontId="0" fillId="19" borderId="0" xfId="0" applyFill="1"/>
    <xf numFmtId="0" fontId="96" fillId="0" borderId="0" xfId="14" applyFont="1" applyProtection="1">
      <protection hidden="1"/>
    </xf>
    <xf numFmtId="0" fontId="96" fillId="0" borderId="0" xfId="14" applyFont="1" applyAlignment="1" applyProtection="1">
      <alignment horizontal="center"/>
      <protection hidden="1"/>
    </xf>
    <xf numFmtId="0" fontId="97" fillId="0" borderId="0" xfId="2" applyFont="1" applyAlignment="1" applyProtection="1">
      <alignment horizontal="center"/>
      <protection hidden="1"/>
    </xf>
    <xf numFmtId="0" fontId="98" fillId="0" borderId="0" xfId="2" applyFont="1" applyProtection="1">
      <protection hidden="1"/>
    </xf>
    <xf numFmtId="0" fontId="96" fillId="0" borderId="84" xfId="14" applyFont="1" applyBorder="1" applyAlignment="1" applyProtection="1">
      <alignment horizontal="center"/>
      <protection hidden="1"/>
    </xf>
    <xf numFmtId="0" fontId="96" fillId="0" borderId="113" xfId="14" applyFont="1" applyBorder="1" applyProtection="1">
      <protection hidden="1"/>
    </xf>
    <xf numFmtId="43" fontId="96" fillId="0" borderId="113" xfId="8" applyFont="1" applyBorder="1" applyAlignment="1" applyProtection="1">
      <alignment horizontal="right"/>
      <protection hidden="1"/>
    </xf>
    <xf numFmtId="0" fontId="96" fillId="0" borderId="113" xfId="14" applyFont="1" applyBorder="1" applyAlignment="1" applyProtection="1">
      <alignment horizontal="center"/>
      <protection hidden="1"/>
    </xf>
    <xf numFmtId="43" fontId="96" fillId="0" borderId="113" xfId="8" applyFont="1" applyBorder="1" applyAlignment="1" applyProtection="1">
      <alignment horizontal="left"/>
      <protection hidden="1"/>
    </xf>
    <xf numFmtId="4" fontId="96" fillId="0" borderId="113" xfId="14" applyNumberFormat="1" applyFont="1" applyBorder="1" applyAlignment="1" applyProtection="1">
      <alignment horizontal="center"/>
      <protection hidden="1"/>
    </xf>
    <xf numFmtId="43" fontId="96" fillId="0" borderId="16" xfId="8" applyFont="1" applyBorder="1" applyAlignment="1" applyProtection="1">
      <protection hidden="1"/>
    </xf>
    <xf numFmtId="0" fontId="96" fillId="0" borderId="15" xfId="14" applyFont="1" applyBorder="1" applyAlignment="1" applyProtection="1">
      <alignment horizontal="center"/>
      <protection hidden="1"/>
    </xf>
    <xf numFmtId="0" fontId="96" fillId="0" borderId="39" xfId="14" applyFont="1" applyBorder="1" applyProtection="1">
      <protection hidden="1"/>
    </xf>
    <xf numFmtId="43" fontId="96" fillId="0" borderId="39" xfId="8" applyFont="1" applyBorder="1" applyAlignment="1" applyProtection="1">
      <alignment horizontal="right"/>
      <protection hidden="1"/>
    </xf>
    <xf numFmtId="0" fontId="96" fillId="0" borderId="39" xfId="14" applyFont="1" applyBorder="1" applyAlignment="1" applyProtection="1">
      <alignment horizontal="center"/>
      <protection hidden="1"/>
    </xf>
    <xf numFmtId="43" fontId="96" fillId="0" borderId="39" xfId="8" applyFont="1" applyBorder="1" applyAlignment="1" applyProtection="1">
      <alignment horizontal="left"/>
      <protection hidden="1"/>
    </xf>
    <xf numFmtId="4" fontId="96" fillId="0" borderId="39" xfId="14" applyNumberFormat="1" applyFont="1" applyBorder="1" applyAlignment="1" applyProtection="1">
      <alignment horizontal="center"/>
      <protection hidden="1"/>
    </xf>
    <xf numFmtId="0" fontId="96" fillId="0" borderId="53" xfId="14" applyFont="1" applyBorder="1" applyAlignment="1" applyProtection="1">
      <alignment horizontal="center"/>
      <protection hidden="1"/>
    </xf>
    <xf numFmtId="0" fontId="96" fillId="0" borderId="54" xfId="14" applyFont="1" applyBorder="1" applyProtection="1">
      <protection hidden="1"/>
    </xf>
    <xf numFmtId="0" fontId="96" fillId="0" borderId="55" xfId="14" applyFont="1" applyBorder="1" applyProtection="1">
      <protection hidden="1"/>
    </xf>
    <xf numFmtId="43" fontId="96" fillId="0" borderId="113" xfId="8" applyFont="1" applyBorder="1" applyAlignment="1" applyProtection="1">
      <alignment horizontal="center"/>
      <protection hidden="1"/>
    </xf>
    <xf numFmtId="43" fontId="96" fillId="0" borderId="39" xfId="8" applyFont="1" applyBorder="1" applyAlignment="1" applyProtection="1">
      <alignment horizontal="center"/>
      <protection hidden="1"/>
    </xf>
    <xf numFmtId="0" fontId="96" fillId="0" borderId="0" xfId="6" applyFont="1" applyProtection="1">
      <protection hidden="1"/>
    </xf>
    <xf numFmtId="0" fontId="99" fillId="0" borderId="0" xfId="14" applyFont="1" applyAlignment="1" applyProtection="1">
      <alignment horizontal="left"/>
      <protection hidden="1"/>
    </xf>
    <xf numFmtId="0" fontId="99" fillId="0" borderId="0" xfId="14" applyFont="1" applyProtection="1">
      <protection hidden="1"/>
    </xf>
    <xf numFmtId="0" fontId="99" fillId="0" borderId="0" xfId="14" applyFont="1" applyAlignment="1" applyProtection="1">
      <alignment horizontal="center"/>
      <protection hidden="1"/>
    </xf>
    <xf numFmtId="0" fontId="97" fillId="0" borderId="109" xfId="2" applyFont="1" applyBorder="1" applyAlignment="1" applyProtection="1">
      <alignment horizontal="center"/>
      <protection hidden="1"/>
    </xf>
    <xf numFmtId="0" fontId="97" fillId="0" borderId="49" xfId="2" applyFont="1" applyBorder="1" applyAlignment="1" applyProtection="1">
      <alignment horizontal="center"/>
      <protection hidden="1"/>
    </xf>
    <xf numFmtId="0" fontId="99" fillId="0" borderId="53" xfId="14" applyFont="1" applyBorder="1" applyAlignment="1" applyProtection="1">
      <alignment horizontal="center"/>
      <protection hidden="1"/>
    </xf>
    <xf numFmtId="0" fontId="99" fillId="0" borderId="54" xfId="14" applyFont="1" applyBorder="1" applyAlignment="1" applyProtection="1">
      <alignment horizontal="center"/>
      <protection hidden="1"/>
    </xf>
    <xf numFmtId="4" fontId="96" fillId="0" borderId="84" xfId="14" applyNumberFormat="1" applyFont="1" applyBorder="1" applyAlignment="1" applyProtection="1">
      <alignment horizontal="center"/>
      <protection hidden="1"/>
    </xf>
    <xf numFmtId="4" fontId="96" fillId="0" borderId="86" xfId="14" applyNumberFormat="1" applyFont="1" applyBorder="1" applyAlignment="1" applyProtection="1">
      <alignment horizontal="center"/>
      <protection hidden="1"/>
    </xf>
    <xf numFmtId="4" fontId="96" fillId="0" borderId="0" xfId="14" applyNumberFormat="1" applyFont="1" applyAlignment="1" applyProtection="1">
      <alignment horizontal="center"/>
      <protection hidden="1"/>
    </xf>
    <xf numFmtId="0" fontId="96" fillId="0" borderId="110" xfId="14" applyFont="1" applyBorder="1" applyProtection="1">
      <protection hidden="1"/>
    </xf>
    <xf numFmtId="0" fontId="96" fillId="0" borderId="111" xfId="14" applyFont="1" applyBorder="1" applyProtection="1">
      <protection hidden="1"/>
    </xf>
    <xf numFmtId="4" fontId="96" fillId="0" borderId="15" xfId="14" applyNumberFormat="1" applyFont="1" applyBorder="1" applyAlignment="1" applyProtection="1">
      <alignment horizontal="center"/>
      <protection hidden="1"/>
    </xf>
    <xf numFmtId="4" fontId="96" fillId="0" borderId="17" xfId="14" applyNumberFormat="1" applyFont="1" applyBorder="1" applyAlignment="1" applyProtection="1">
      <alignment horizontal="center"/>
      <protection hidden="1"/>
    </xf>
    <xf numFmtId="0" fontId="96" fillId="0" borderId="60" xfId="14" applyFont="1" applyBorder="1" applyAlignment="1" applyProtection="1">
      <alignment horizontal="center"/>
      <protection hidden="1"/>
    </xf>
    <xf numFmtId="43" fontId="96" fillId="0" borderId="92" xfId="1" applyFont="1" applyFill="1" applyBorder="1" applyAlignment="1" applyProtection="1">
      <alignment horizontal="center"/>
      <protection hidden="1"/>
    </xf>
    <xf numFmtId="43" fontId="96" fillId="0" borderId="103" xfId="1" applyFont="1" applyFill="1" applyBorder="1" applyAlignment="1" applyProtection="1">
      <alignment horizontal="center"/>
      <protection hidden="1"/>
    </xf>
    <xf numFmtId="4" fontId="99" fillId="0" borderId="66" xfId="14" applyNumberFormat="1" applyFont="1" applyBorder="1" applyAlignment="1" applyProtection="1">
      <alignment horizontal="center"/>
      <protection hidden="1"/>
    </xf>
    <xf numFmtId="4" fontId="99" fillId="0" borderId="49" xfId="14" applyNumberFormat="1" applyFont="1" applyBorder="1" applyAlignment="1" applyProtection="1">
      <alignment horizontal="center"/>
      <protection hidden="1"/>
    </xf>
    <xf numFmtId="4" fontId="99" fillId="0" borderId="0" xfId="14" applyNumberFormat="1" applyFont="1" applyAlignment="1" applyProtection="1">
      <alignment horizontal="center"/>
      <protection hidden="1"/>
    </xf>
    <xf numFmtId="0" fontId="96" fillId="0" borderId="59" xfId="14" applyFont="1" applyBorder="1" applyAlignment="1" applyProtection="1">
      <alignment horizontal="center"/>
      <protection hidden="1"/>
    </xf>
    <xf numFmtId="0" fontId="96" fillId="0" borderId="32" xfId="14" applyFont="1" applyBorder="1" applyAlignment="1" applyProtection="1">
      <alignment horizontal="center"/>
      <protection hidden="1"/>
    </xf>
    <xf numFmtId="0" fontId="96" fillId="0" borderId="55" xfId="14" applyFont="1" applyBorder="1" applyAlignment="1" applyProtection="1">
      <alignment horizontal="center"/>
      <protection hidden="1"/>
    </xf>
    <xf numFmtId="0" fontId="96" fillId="0" borderId="0" xfId="14" applyFont="1" applyAlignment="1" applyProtection="1">
      <alignment horizontal="right"/>
      <protection hidden="1"/>
    </xf>
    <xf numFmtId="43" fontId="96" fillId="0" borderId="0" xfId="19" applyFont="1" applyAlignment="1">
      <alignment vertical="center"/>
    </xf>
    <xf numFmtId="43" fontId="96" fillId="0" borderId="0" xfId="19" applyFont="1" applyBorder="1" applyAlignment="1">
      <alignment horizontal="center" vertical="center"/>
    </xf>
    <xf numFmtId="0" fontId="96" fillId="0" borderId="0" xfId="18" applyFont="1" applyAlignment="1">
      <alignment vertical="center"/>
    </xf>
    <xf numFmtId="43" fontId="100" fillId="0" borderId="0" xfId="19" applyFont="1" applyAlignment="1">
      <alignment vertical="center"/>
    </xf>
    <xf numFmtId="0" fontId="99" fillId="0" borderId="109" xfId="14" applyFont="1" applyBorder="1" applyAlignment="1" applyProtection="1">
      <alignment horizontal="center"/>
      <protection hidden="1"/>
    </xf>
    <xf numFmtId="0" fontId="99" fillId="0" borderId="56" xfId="14" applyFont="1" applyBorder="1" applyAlignment="1" applyProtection="1">
      <alignment horizontal="center"/>
      <protection hidden="1"/>
    </xf>
    <xf numFmtId="0" fontId="99" fillId="0" borderId="54" xfId="14" applyFont="1" applyBorder="1" applyProtection="1">
      <protection hidden="1"/>
    </xf>
    <xf numFmtId="0" fontId="99" fillId="0" borderId="55" xfId="14" applyFont="1" applyBorder="1" applyProtection="1">
      <protection hidden="1"/>
    </xf>
    <xf numFmtId="0" fontId="96" fillId="0" borderId="109" xfId="14" applyFont="1" applyBorder="1" applyAlignment="1" applyProtection="1">
      <alignment horizontal="center"/>
      <protection hidden="1"/>
    </xf>
    <xf numFmtId="0" fontId="96" fillId="0" borderId="110" xfId="14" applyFont="1" applyBorder="1" applyAlignment="1" applyProtection="1">
      <alignment horizontal="center"/>
      <protection hidden="1"/>
    </xf>
    <xf numFmtId="0" fontId="96" fillId="0" borderId="112" xfId="14" applyFont="1" applyBorder="1" applyAlignment="1" applyProtection="1">
      <alignment horizontal="center"/>
      <protection hidden="1"/>
    </xf>
    <xf numFmtId="0" fontId="96" fillId="0" borderId="111" xfId="14" applyFont="1" applyBorder="1" applyAlignment="1" applyProtection="1">
      <alignment horizontal="center"/>
      <protection hidden="1"/>
    </xf>
    <xf numFmtId="49" fontId="96" fillId="0" borderId="0" xfId="14" applyNumberFormat="1" applyFont="1" applyAlignment="1" applyProtection="1">
      <alignment horizontal="center"/>
      <protection hidden="1"/>
    </xf>
    <xf numFmtId="0" fontId="96" fillId="0" borderId="32" xfId="14" applyFont="1" applyBorder="1" applyProtection="1">
      <protection hidden="1"/>
    </xf>
    <xf numFmtId="0" fontId="96" fillId="0" borderId="56" xfId="14" applyFont="1" applyBorder="1" applyAlignment="1" applyProtection="1">
      <alignment horizontal="center"/>
      <protection hidden="1"/>
    </xf>
    <xf numFmtId="0" fontId="96" fillId="0" borderId="53" xfId="14" applyFont="1" applyBorder="1" applyProtection="1">
      <protection hidden="1"/>
    </xf>
    <xf numFmtId="0" fontId="96" fillId="0" borderId="54" xfId="14" applyFont="1" applyBorder="1" applyAlignment="1" applyProtection="1">
      <alignment horizontal="center"/>
      <protection hidden="1"/>
    </xf>
    <xf numFmtId="0" fontId="99" fillId="0" borderId="0" xfId="18" applyFont="1" applyAlignment="1">
      <alignment horizontal="left" vertical="center"/>
    </xf>
    <xf numFmtId="43" fontId="96" fillId="0" borderId="0" xfId="19" applyFont="1" applyAlignment="1">
      <alignment horizontal="center" vertical="center"/>
    </xf>
    <xf numFmtId="43" fontId="96" fillId="0" borderId="0" xfId="19" applyFont="1" applyFill="1" applyAlignment="1">
      <alignment vertical="center"/>
    </xf>
    <xf numFmtId="0" fontId="96" fillId="0" borderId="0" xfId="18" applyFont="1" applyAlignment="1">
      <alignment horizontal="left" vertical="center"/>
    </xf>
    <xf numFmtId="43" fontId="96" fillId="0" borderId="0" xfId="19" applyFont="1" applyAlignment="1">
      <alignment horizontal="left" vertical="center"/>
    </xf>
    <xf numFmtId="43" fontId="96" fillId="0" borderId="0" xfId="19" applyFont="1" applyAlignment="1">
      <alignment horizontal="right" vertical="center"/>
    </xf>
    <xf numFmtId="43" fontId="96" fillId="0" borderId="0" xfId="19" applyFont="1" applyFill="1" applyAlignment="1">
      <alignment horizontal="center" vertical="center"/>
    </xf>
    <xf numFmtId="43" fontId="96" fillId="0" borderId="0" xfId="19" applyFont="1" applyFill="1" applyAlignment="1" applyProtection="1">
      <alignment horizontal="center" vertical="center"/>
    </xf>
    <xf numFmtId="0" fontId="96" fillId="0" borderId="0" xfId="18" applyFont="1" applyAlignment="1">
      <alignment horizontal="center" vertical="center"/>
    </xf>
    <xf numFmtId="43" fontId="101" fillId="0" borderId="0" xfId="19" applyFont="1" applyFill="1" applyAlignment="1">
      <alignment vertical="center"/>
    </xf>
    <xf numFmtId="43" fontId="102" fillId="0" borderId="0" xfId="19" applyFont="1" applyAlignment="1">
      <alignment horizontal="left" vertical="center"/>
    </xf>
    <xf numFmtId="43" fontId="96" fillId="0" borderId="0" xfId="19" applyFont="1" applyFill="1" applyAlignment="1">
      <alignment horizontal="right" vertical="center"/>
    </xf>
    <xf numFmtId="43" fontId="96" fillId="0" borderId="0" xfId="19" applyFont="1" applyFill="1" applyAlignment="1">
      <alignment horizontal="left" vertical="center"/>
    </xf>
    <xf numFmtId="0" fontId="100" fillId="0" borderId="0" xfId="18" applyFont="1" applyAlignment="1">
      <alignment horizontal="center" vertical="center"/>
    </xf>
    <xf numFmtId="43" fontId="100" fillId="0" borderId="0" xfId="19" applyFont="1" applyAlignment="1">
      <alignment horizontal="right" vertical="center"/>
    </xf>
    <xf numFmtId="43" fontId="100" fillId="0" borderId="0" xfId="19" applyFont="1" applyAlignment="1">
      <alignment horizontal="center" vertical="center"/>
    </xf>
    <xf numFmtId="43" fontId="100" fillId="0" borderId="0" xfId="19" applyFont="1" applyAlignment="1">
      <alignment horizontal="left" vertical="center"/>
    </xf>
    <xf numFmtId="43" fontId="100" fillId="0" borderId="0" xfId="19" applyFont="1" applyFill="1" applyAlignment="1">
      <alignment horizontal="center" vertical="center"/>
    </xf>
    <xf numFmtId="43" fontId="99" fillId="0" borderId="0" xfId="19" applyFont="1" applyBorder="1" applyAlignment="1">
      <alignment horizontal="center" vertical="center"/>
    </xf>
    <xf numFmtId="43" fontId="101" fillId="0" borderId="0" xfId="19" applyFont="1" applyFill="1" applyAlignment="1">
      <alignment horizontal="center" vertical="center"/>
    </xf>
    <xf numFmtId="43" fontId="102" fillId="0" borderId="0" xfId="19" applyFont="1" applyFill="1" applyAlignment="1">
      <alignment vertical="center"/>
    </xf>
    <xf numFmtId="43" fontId="96" fillId="0" borderId="0" xfId="19" applyFont="1" applyBorder="1" applyAlignment="1">
      <alignment horizontal="right" vertical="center"/>
    </xf>
    <xf numFmtId="0" fontId="96" fillId="0" borderId="0" xfId="18" applyFont="1" applyAlignment="1">
      <alignment horizontal="right" vertical="center"/>
    </xf>
    <xf numFmtId="43" fontId="99" fillId="0" borderId="0" xfId="19" applyFont="1" applyBorder="1" applyAlignment="1">
      <alignment horizontal="right" vertical="center"/>
    </xf>
    <xf numFmtId="0" fontId="100" fillId="0" borderId="0" xfId="18" applyFont="1" applyAlignment="1">
      <alignment horizontal="right" vertical="center"/>
    </xf>
    <xf numFmtId="0" fontId="99" fillId="0" borderId="0" xfId="18" applyFont="1" applyAlignment="1">
      <alignment vertical="center"/>
    </xf>
    <xf numFmtId="43" fontId="99" fillId="0" borderId="0" xfId="19" applyFont="1" applyFill="1" applyAlignment="1">
      <alignment vertical="center"/>
    </xf>
    <xf numFmtId="43" fontId="99" fillId="0" borderId="0" xfId="19" applyFont="1" applyAlignment="1">
      <alignment horizontal="center" vertical="center"/>
    </xf>
    <xf numFmtId="43" fontId="103" fillId="0" borderId="0" xfId="19" applyFont="1" applyFill="1" applyBorder="1" applyAlignment="1" applyProtection="1">
      <alignment vertical="center"/>
      <protection hidden="1"/>
    </xf>
    <xf numFmtId="0" fontId="99" fillId="0" borderId="0" xfId="18" applyFont="1" applyAlignment="1">
      <alignment horizontal="right" vertical="center"/>
    </xf>
    <xf numFmtId="43" fontId="96" fillId="0" borderId="0" xfId="19" applyFont="1" applyFill="1" applyBorder="1" applyAlignment="1">
      <alignment vertical="center"/>
    </xf>
    <xf numFmtId="0" fontId="96" fillId="0" borderId="0" xfId="19" applyNumberFormat="1" applyFont="1" applyAlignment="1">
      <alignment vertical="center"/>
    </xf>
    <xf numFmtId="2" fontId="96" fillId="0" borderId="0" xfId="18" applyNumberFormat="1" applyFont="1" applyAlignment="1">
      <alignment vertical="center"/>
    </xf>
    <xf numFmtId="43" fontId="96" fillId="0" borderId="0" xfId="19" applyFont="1" applyFill="1" applyBorder="1" applyAlignment="1">
      <alignment horizontal="center" vertical="center"/>
    </xf>
    <xf numFmtId="0" fontId="99" fillId="0" borderId="0" xfId="18" applyFont="1" applyAlignment="1">
      <alignment horizontal="center" vertical="center"/>
    </xf>
    <xf numFmtId="43" fontId="103" fillId="0" borderId="0" xfId="19" applyFont="1" applyFill="1" applyBorder="1" applyAlignment="1">
      <alignment vertical="center"/>
    </xf>
    <xf numFmtId="43" fontId="104" fillId="0" borderId="0" xfId="14" applyNumberFormat="1" applyFont="1" applyAlignment="1" applyProtection="1">
      <alignment horizontal="center"/>
      <protection hidden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5" fillId="0" borderId="12" xfId="0" applyFont="1" applyBorder="1"/>
    <xf numFmtId="43" fontId="5" fillId="0" borderId="13" xfId="1" applyFont="1" applyBorder="1"/>
    <xf numFmtId="168" fontId="5" fillId="0" borderId="13" xfId="0" applyNumberFormat="1" applyFont="1" applyBorder="1" applyAlignment="1">
      <alignment horizontal="center"/>
    </xf>
    <xf numFmtId="0" fontId="5" fillId="0" borderId="45" xfId="0" applyFont="1" applyBorder="1"/>
    <xf numFmtId="0" fontId="105" fillId="0" borderId="39" xfId="0" applyFont="1" applyBorder="1"/>
    <xf numFmtId="0" fontId="105" fillId="0" borderId="15" xfId="0" applyFont="1" applyBorder="1"/>
    <xf numFmtId="43" fontId="5" fillId="0" borderId="103" xfId="1" applyFont="1" applyBorder="1"/>
    <xf numFmtId="43" fontId="5" fillId="0" borderId="103" xfId="1" applyFont="1" applyBorder="1" applyAlignment="1">
      <alignment horizontal="center"/>
    </xf>
    <xf numFmtId="0" fontId="5" fillId="0" borderId="114" xfId="0" applyFont="1" applyBorder="1"/>
    <xf numFmtId="43" fontId="5" fillId="0" borderId="27" xfId="1" applyFont="1" applyBorder="1"/>
    <xf numFmtId="43" fontId="5" fillId="0" borderId="20" xfId="1" applyFont="1" applyBorder="1" applyAlignment="1">
      <alignment horizontal="center"/>
    </xf>
    <xf numFmtId="0" fontId="5" fillId="0" borderId="28" xfId="0" applyFont="1" applyBorder="1"/>
    <xf numFmtId="0" fontId="7" fillId="0" borderId="37" xfId="0" applyFont="1" applyBorder="1" applyAlignment="1">
      <alignment horizontal="left" vertical="center"/>
    </xf>
    <xf numFmtId="0" fontId="7" fillId="0" borderId="37" xfId="0" applyFont="1" applyBorder="1"/>
    <xf numFmtId="43" fontId="7" fillId="0" borderId="13" xfId="0" applyNumberFormat="1" applyFont="1" applyBorder="1"/>
    <xf numFmtId="0" fontId="7" fillId="0" borderId="81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7" fillId="0" borderId="0" xfId="3" applyNumberFormat="1" applyFont="1" applyAlignment="1">
      <alignment horizontal="center" vertical="center"/>
    </xf>
    <xf numFmtId="0" fontId="7" fillId="0" borderId="33" xfId="3" applyFont="1" applyBorder="1" applyAlignment="1">
      <alignment vertical="center"/>
    </xf>
    <xf numFmtId="0" fontId="106" fillId="0" borderId="0" xfId="0" applyFont="1"/>
    <xf numFmtId="0" fontId="86" fillId="0" borderId="0" xfId="0" applyFont="1"/>
    <xf numFmtId="43" fontId="86" fillId="0" borderId="0" xfId="1" applyFont="1" applyFill="1" applyAlignment="1">
      <alignment horizontal="center" vertical="center"/>
    </xf>
    <xf numFmtId="0" fontId="107" fillId="0" borderId="0" xfId="0" applyFont="1"/>
    <xf numFmtId="0" fontId="106" fillId="3" borderId="0" xfId="0" applyFont="1" applyFill="1"/>
    <xf numFmtId="0" fontId="108" fillId="0" borderId="0" xfId="0" applyFont="1"/>
    <xf numFmtId="0" fontId="109" fillId="0" borderId="0" xfId="0" applyFont="1"/>
    <xf numFmtId="43" fontId="5" fillId="0" borderId="0" xfId="1" applyFont="1" applyFill="1" applyAlignment="1"/>
    <xf numFmtId="43" fontId="5" fillId="0" borderId="0" xfId="1" applyFont="1" applyFill="1" applyBorder="1" applyAlignment="1" applyProtection="1">
      <alignment horizontal="left"/>
    </xf>
    <xf numFmtId="43" fontId="5" fillId="0" borderId="0" xfId="1" applyFont="1" applyFill="1" applyBorder="1" applyAlignment="1"/>
    <xf numFmtId="0" fontId="5" fillId="0" borderId="0" xfId="3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10" fillId="0" borderId="11" xfId="0" applyFont="1" applyBorder="1" applyAlignment="1">
      <alignment horizontal="left" vertical="center"/>
    </xf>
    <xf numFmtId="0" fontId="5" fillId="0" borderId="3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/>
    <xf numFmtId="0" fontId="18" fillId="0" borderId="39" xfId="0" applyFont="1" applyBorder="1"/>
    <xf numFmtId="0" fontId="86" fillId="0" borderId="39" xfId="0" applyFont="1" applyBorder="1"/>
    <xf numFmtId="0" fontId="86" fillId="0" borderId="17" xfId="0" applyFont="1" applyBorder="1" applyAlignment="1">
      <alignment horizontal="center"/>
    </xf>
    <xf numFmtId="2" fontId="86" fillId="0" borderId="16" xfId="1" applyNumberFormat="1" applyFont="1" applyBorder="1" applyAlignment="1">
      <alignment horizontal="center"/>
    </xf>
    <xf numFmtId="43" fontId="86" fillId="0" borderId="17" xfId="1" applyFont="1" applyBorder="1"/>
    <xf numFmtId="0" fontId="86" fillId="0" borderId="14" xfId="0" applyFont="1" applyBorder="1" applyAlignment="1">
      <alignment horizontal="center"/>
    </xf>
    <xf numFmtId="0" fontId="86" fillId="0" borderId="15" xfId="0" applyFont="1" applyBorder="1"/>
    <xf numFmtId="43" fontId="86" fillId="0" borderId="17" xfId="1" applyFont="1" applyFill="1" applyBorder="1" applyAlignment="1">
      <alignment horizontal="center"/>
    </xf>
    <xf numFmtId="0" fontId="11" fillId="10" borderId="14" xfId="16" applyFont="1" applyFill="1" applyBorder="1" applyAlignment="1">
      <alignment horizontal="center"/>
    </xf>
    <xf numFmtId="0" fontId="11" fillId="10" borderId="15" xfId="16" applyFont="1" applyFill="1" applyBorder="1"/>
    <xf numFmtId="43" fontId="5" fillId="0" borderId="17" xfId="1" applyFont="1" applyFill="1" applyBorder="1" applyAlignment="1">
      <alignment horizontal="center" vertical="center"/>
    </xf>
    <xf numFmtId="0" fontId="12" fillId="10" borderId="14" xfId="16" applyFont="1" applyFill="1" applyBorder="1" applyAlignment="1">
      <alignment horizontal="center"/>
    </xf>
    <xf numFmtId="0" fontId="12" fillId="10" borderId="15" xfId="17" applyFont="1" applyFill="1" applyBorder="1"/>
    <xf numFmtId="43" fontId="12" fillId="10" borderId="17" xfId="1" applyFont="1" applyFill="1" applyBorder="1" applyAlignment="1" applyProtection="1">
      <alignment horizontal="right"/>
    </xf>
    <xf numFmtId="0" fontId="12" fillId="10" borderId="16" xfId="0" applyFont="1" applyFill="1" applyBorder="1" applyAlignment="1">
      <alignment horizontal="center" vertical="center"/>
    </xf>
    <xf numFmtId="0" fontId="111" fillId="10" borderId="14" xfId="16" applyFont="1" applyFill="1" applyBorder="1" applyAlignment="1">
      <alignment horizontal="center"/>
    </xf>
    <xf numFmtId="0" fontId="111" fillId="10" borderId="15" xfId="16" applyFont="1" applyFill="1" applyBorder="1"/>
    <xf numFmtId="0" fontId="86" fillId="0" borderId="39" xfId="0" applyFont="1" applyBorder="1" applyAlignment="1">
      <alignment horizontal="center" vertical="center"/>
    </xf>
    <xf numFmtId="43" fontId="111" fillId="10" borderId="17" xfId="1" applyFont="1" applyFill="1" applyBorder="1" applyAlignment="1" applyProtection="1">
      <alignment horizontal="right"/>
    </xf>
    <xf numFmtId="0" fontId="111" fillId="10" borderId="16" xfId="0" applyFont="1" applyFill="1" applyBorder="1" applyAlignment="1">
      <alignment horizontal="center" vertical="center"/>
    </xf>
    <xf numFmtId="43" fontId="111" fillId="10" borderId="14" xfId="1" applyFont="1" applyFill="1" applyBorder="1" applyAlignment="1" applyProtection="1">
      <alignment horizontal="center" vertical="center"/>
    </xf>
    <xf numFmtId="43" fontId="12" fillId="10" borderId="26" xfId="1" applyFont="1" applyFill="1" applyBorder="1" applyAlignment="1" applyProtection="1">
      <alignment horizontal="left" vertical="center"/>
    </xf>
    <xf numFmtId="43" fontId="86" fillId="0" borderId="39" xfId="1" applyFont="1" applyFill="1" applyBorder="1" applyAlignment="1">
      <alignment horizontal="center" vertical="center"/>
    </xf>
    <xf numFmtId="43" fontId="12" fillId="10" borderId="20" xfId="1" applyFont="1" applyFill="1" applyBorder="1" applyAlignment="1" applyProtection="1">
      <alignment horizontal="center" vertical="center"/>
    </xf>
    <xf numFmtId="43" fontId="12" fillId="10" borderId="20" xfId="1" applyFont="1" applyFill="1" applyBorder="1" applyAlignment="1">
      <alignment horizontal="center" vertical="center"/>
    </xf>
    <xf numFmtId="43" fontId="12" fillId="10" borderId="15" xfId="1" applyFont="1" applyFill="1" applyBorder="1" applyAlignment="1" applyProtection="1">
      <alignment horizontal="left" vertical="center"/>
    </xf>
    <xf numFmtId="43" fontId="12" fillId="10" borderId="17" xfId="1" applyFont="1" applyFill="1" applyBorder="1" applyAlignment="1" applyProtection="1">
      <alignment horizontal="center" vertical="center"/>
    </xf>
    <xf numFmtId="43" fontId="12" fillId="10" borderId="17" xfId="1" applyFont="1" applyFill="1" applyBorder="1" applyAlignment="1">
      <alignment horizontal="center" vertical="center"/>
    </xf>
    <xf numFmtId="43" fontId="12" fillId="10" borderId="63" xfId="1" applyFont="1" applyFill="1" applyBorder="1" applyAlignment="1" applyProtection="1">
      <alignment horizontal="left" vertical="center"/>
    </xf>
    <xf numFmtId="43" fontId="12" fillId="10" borderId="18" xfId="1" applyFont="1" applyFill="1" applyBorder="1" applyAlignment="1" applyProtection="1">
      <alignment horizontal="center" vertical="center"/>
    </xf>
    <xf numFmtId="43" fontId="12" fillId="10" borderId="18" xfId="1" applyFont="1" applyFill="1" applyBorder="1" applyAlignment="1">
      <alignment horizontal="center" vertical="center"/>
    </xf>
    <xf numFmtId="21" fontId="12" fillId="10" borderId="15" xfId="16" applyNumberFormat="1" applyFont="1" applyFill="1" applyBorder="1"/>
    <xf numFmtId="0" fontId="8" fillId="0" borderId="14" xfId="0" applyFont="1" applyBorder="1" applyAlignment="1">
      <alignment horizontal="center" vertical="center"/>
    </xf>
    <xf numFmtId="0" fontId="107" fillId="0" borderId="15" xfId="1" applyNumberFormat="1" applyFont="1" applyBorder="1" applyAlignment="1">
      <alignment vertical="center"/>
    </xf>
    <xf numFmtId="0" fontId="107" fillId="0" borderId="16" xfId="0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0" fontId="107" fillId="0" borderId="22" xfId="1" applyNumberFormat="1" applyFont="1" applyBorder="1" applyAlignment="1">
      <alignment vertical="center"/>
    </xf>
    <xf numFmtId="0" fontId="107" fillId="0" borderId="61" xfId="0" applyFont="1" applyBorder="1" applyAlignment="1">
      <alignment vertical="center"/>
    </xf>
    <xf numFmtId="0" fontId="5" fillId="0" borderId="61" xfId="0" applyFont="1" applyBorder="1" applyAlignment="1">
      <alignment horizontal="center" vertical="center"/>
    </xf>
    <xf numFmtId="43" fontId="12" fillId="10" borderId="24" xfId="1" applyFont="1" applyFill="1" applyBorder="1" applyAlignment="1" applyProtection="1">
      <alignment horizontal="right"/>
    </xf>
    <xf numFmtId="0" fontId="12" fillId="10" borderId="61" xfId="0" applyFont="1" applyFill="1" applyBorder="1" applyAlignment="1">
      <alignment horizontal="center" vertical="center"/>
    </xf>
    <xf numFmtId="43" fontId="5" fillId="0" borderId="24" xfId="1" applyFont="1" applyBorder="1"/>
    <xf numFmtId="0" fontId="7" fillId="0" borderId="78" xfId="0" applyFont="1" applyBorder="1" applyAlignment="1">
      <alignment horizontal="center" vertical="center"/>
    </xf>
    <xf numFmtId="0" fontId="112" fillId="0" borderId="79" xfId="0" applyFont="1" applyBorder="1"/>
    <xf numFmtId="0" fontId="5" fillId="0" borderId="79" xfId="1" applyNumberFormat="1" applyFont="1" applyBorder="1"/>
    <xf numFmtId="0" fontId="5" fillId="0" borderId="79" xfId="0" applyFont="1" applyBorder="1"/>
    <xf numFmtId="43" fontId="5" fillId="0" borderId="79" xfId="1" applyFont="1" applyBorder="1"/>
    <xf numFmtId="43" fontId="5" fillId="0" borderId="79" xfId="0" applyNumberFormat="1" applyFont="1" applyBorder="1" applyAlignment="1">
      <alignment horizontal="center" vertical="center"/>
    </xf>
    <xf numFmtId="43" fontId="112" fillId="0" borderId="79" xfId="1" applyFont="1" applyFill="1" applyBorder="1" applyAlignment="1">
      <alignment horizontal="right" wrapText="1"/>
    </xf>
    <xf numFmtId="0" fontId="112" fillId="0" borderId="0" xfId="0" applyFont="1"/>
    <xf numFmtId="0" fontId="5" fillId="0" borderId="0" xfId="1" applyNumberFormat="1" applyFont="1" applyBorder="1"/>
    <xf numFmtId="43" fontId="5" fillId="0" borderId="0" xfId="0" applyNumberFormat="1" applyFont="1" applyAlignment="1">
      <alignment horizontal="center" vertical="center"/>
    </xf>
    <xf numFmtId="43" fontId="112" fillId="0" borderId="0" xfId="1" applyFont="1" applyFill="1" applyBorder="1" applyAlignment="1">
      <alignment horizontal="right" wrapText="1"/>
    </xf>
    <xf numFmtId="0" fontId="8" fillId="0" borderId="0" xfId="0" applyFont="1" applyAlignment="1">
      <alignment horizontal="center" vertical="center"/>
    </xf>
    <xf numFmtId="0" fontId="107" fillId="0" borderId="0" xfId="1" applyNumberFormat="1" applyFont="1" applyBorder="1" applyAlignment="1">
      <alignment vertical="center"/>
    </xf>
    <xf numFmtId="0" fontId="107" fillId="0" borderId="0" xfId="0" applyFont="1" applyAlignment="1">
      <alignment vertical="center"/>
    </xf>
    <xf numFmtId="43" fontId="107" fillId="0" borderId="0" xfId="1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106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/>
    </xf>
    <xf numFmtId="0" fontId="11" fillId="10" borderId="25" xfId="16" applyFont="1" applyFill="1" applyBorder="1" applyAlignment="1">
      <alignment horizontal="center"/>
    </xf>
    <xf numFmtId="0" fontId="11" fillId="10" borderId="26" xfId="16" applyFont="1" applyFill="1" applyBorder="1"/>
    <xf numFmtId="0" fontId="12" fillId="10" borderId="27" xfId="0" applyFont="1" applyFill="1" applyBorder="1" applyAlignment="1">
      <alignment horizontal="center" vertical="center"/>
    </xf>
    <xf numFmtId="0" fontId="12" fillId="10" borderId="15" xfId="16" applyFont="1" applyFill="1" applyBorder="1"/>
    <xf numFmtId="0" fontId="86" fillId="3" borderId="14" xfId="0" applyFont="1" applyFill="1" applyBorder="1" applyAlignment="1">
      <alignment horizontal="center"/>
    </xf>
    <xf numFmtId="0" fontId="86" fillId="0" borderId="16" xfId="0" applyFont="1" applyBorder="1"/>
    <xf numFmtId="2" fontId="86" fillId="3" borderId="17" xfId="0" applyNumberFormat="1" applyFont="1" applyFill="1" applyBorder="1" applyAlignment="1">
      <alignment horizontal="center"/>
    </xf>
    <xf numFmtId="2" fontId="86" fillId="3" borderId="17" xfId="1" applyNumberFormat="1" applyFont="1" applyFill="1" applyBorder="1" applyAlignment="1">
      <alignment horizontal="center"/>
    </xf>
    <xf numFmtId="43" fontId="86" fillId="3" borderId="17" xfId="1" applyFont="1" applyFill="1" applyBorder="1"/>
    <xf numFmtId="0" fontId="11" fillId="10" borderId="14" xfId="0" applyFont="1" applyFill="1" applyBorder="1" applyAlignment="1">
      <alignment horizontal="center"/>
    </xf>
    <xf numFmtId="0" fontId="11" fillId="10" borderId="39" xfId="0" applyFont="1" applyFill="1" applyBorder="1"/>
    <xf numFmtId="0" fontId="113" fillId="10" borderId="39" xfId="0" applyFont="1" applyFill="1" applyBorder="1"/>
    <xf numFmtId="0" fontId="12" fillId="10" borderId="14" xfId="0" applyFont="1" applyFill="1" applyBorder="1" applyAlignment="1">
      <alignment horizontal="center"/>
    </xf>
    <xf numFmtId="0" fontId="12" fillId="10" borderId="39" xfId="0" applyFont="1" applyFill="1" applyBorder="1"/>
    <xf numFmtId="0" fontId="12" fillId="10" borderId="16" xfId="0" applyFont="1" applyFill="1" applyBorder="1"/>
    <xf numFmtId="43" fontId="88" fillId="10" borderId="17" xfId="1" applyFont="1" applyFill="1" applyBorder="1" applyAlignment="1">
      <alignment horizontal="center" vertical="center"/>
    </xf>
    <xf numFmtId="0" fontId="88" fillId="10" borderId="39" xfId="0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/>
    </xf>
    <xf numFmtId="43" fontId="114" fillId="0" borderId="47" xfId="1" applyFont="1" applyBorder="1"/>
    <xf numFmtId="43" fontId="115" fillId="0" borderId="0" xfId="1" applyFont="1" applyBorder="1"/>
    <xf numFmtId="0" fontId="86" fillId="0" borderId="31" xfId="0" applyFont="1" applyBorder="1" applyAlignment="1">
      <alignment horizontal="center" vertical="center"/>
    </xf>
    <xf numFmtId="43" fontId="86" fillId="0" borderId="31" xfId="1" applyFont="1" applyFill="1" applyBorder="1" applyAlignment="1">
      <alignment horizontal="center" vertical="center"/>
    </xf>
    <xf numFmtId="43" fontId="5" fillId="0" borderId="0" xfId="1" applyFont="1" applyFill="1" applyAlignment="1">
      <alignment horizontal="center" vertical="center"/>
    </xf>
    <xf numFmtId="43" fontId="5" fillId="0" borderId="31" xfId="1" applyFont="1" applyBorder="1"/>
    <xf numFmtId="43" fontId="5" fillId="0" borderId="61" xfId="1" applyFont="1" applyBorder="1"/>
    <xf numFmtId="43" fontId="5" fillId="0" borderId="36" xfId="1" applyFont="1" applyBorder="1"/>
    <xf numFmtId="43" fontId="5" fillId="0" borderId="39" xfId="1" applyFont="1" applyBorder="1" applyAlignment="1">
      <alignment horizontal="center"/>
    </xf>
    <xf numFmtId="43" fontId="5" fillId="0" borderId="16" xfId="1" applyFont="1" applyFill="1" applyBorder="1" applyAlignment="1"/>
    <xf numFmtId="43" fontId="5" fillId="0" borderId="79" xfId="1" applyFont="1" applyFill="1" applyBorder="1" applyAlignment="1">
      <alignment horizontal="center"/>
    </xf>
    <xf numFmtId="0" fontId="7" fillId="0" borderId="79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43" fontId="86" fillId="0" borderId="0" xfId="0" applyNumberFormat="1" applyFont="1"/>
    <xf numFmtId="43" fontId="5" fillId="0" borderId="0" xfId="1" applyFont="1" applyFill="1" applyBorder="1" applyAlignment="1">
      <alignment horizontal="center"/>
    </xf>
    <xf numFmtId="43" fontId="7" fillId="0" borderId="0" xfId="1" applyFont="1"/>
    <xf numFmtId="43" fontId="5" fillId="0" borderId="0" xfId="0" applyNumberFormat="1" applyFont="1" applyAlignment="1">
      <alignment horizontal="center"/>
    </xf>
    <xf numFmtId="43" fontId="5" fillId="0" borderId="0" xfId="1" applyFont="1" applyAlignment="1">
      <alignment horizontal="center"/>
    </xf>
    <xf numFmtId="0" fontId="5" fillId="0" borderId="97" xfId="0" applyFont="1" applyBorder="1" applyAlignment="1">
      <alignment horizontal="center"/>
    </xf>
    <xf numFmtId="0" fontId="7" fillId="0" borderId="115" xfId="0" applyFont="1" applyBorder="1" applyAlignment="1">
      <alignment horizontal="center" vertical="center"/>
    </xf>
    <xf numFmtId="43" fontId="7" fillId="0" borderId="35" xfId="1" applyFont="1" applyBorder="1"/>
    <xf numFmtId="0" fontId="7" fillId="0" borderId="19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114" fillId="3" borderId="47" xfId="0" applyFont="1" applyFill="1" applyBorder="1"/>
    <xf numFmtId="0" fontId="114" fillId="3" borderId="0" xfId="0" applyFont="1" applyFill="1"/>
    <xf numFmtId="43" fontId="88" fillId="10" borderId="16" xfId="1" applyFont="1" applyFill="1" applyBorder="1" applyAlignment="1">
      <alignment horizontal="center" vertical="center"/>
    </xf>
    <xf numFmtId="43" fontId="88" fillId="10" borderId="0" xfId="1" applyFont="1" applyFill="1" applyAlignment="1">
      <alignment horizontal="center" vertical="center"/>
    </xf>
    <xf numFmtId="0" fontId="114" fillId="0" borderId="0" xfId="0" applyFont="1"/>
    <xf numFmtId="0" fontId="18" fillId="0" borderId="17" xfId="0" applyFont="1" applyBorder="1" applyAlignment="1">
      <alignment horizontal="center"/>
    </xf>
    <xf numFmtId="2" fontId="86" fillId="0" borderId="17" xfId="0" applyNumberFormat="1" applyFont="1" applyBorder="1" applyAlignment="1">
      <alignment horizontal="center"/>
    </xf>
    <xf numFmtId="2" fontId="86" fillId="0" borderId="17" xfId="1" applyNumberFormat="1" applyFont="1" applyBorder="1" applyAlignment="1">
      <alignment horizontal="center"/>
    </xf>
    <xf numFmtId="0" fontId="8" fillId="0" borderId="41" xfId="0" applyFont="1" applyBorder="1" applyAlignment="1">
      <alignment horizontal="center" vertical="center"/>
    </xf>
    <xf numFmtId="0" fontId="107" fillId="0" borderId="106" xfId="1" applyNumberFormat="1" applyFont="1" applyBorder="1" applyAlignment="1">
      <alignment horizontal="left" vertical="center"/>
    </xf>
    <xf numFmtId="0" fontId="107" fillId="0" borderId="79" xfId="0" applyFont="1" applyBorder="1" applyAlignment="1">
      <alignment vertical="center"/>
    </xf>
    <xf numFmtId="43" fontId="5" fillId="0" borderId="79" xfId="1" applyFont="1" applyFill="1" applyBorder="1" applyAlignment="1"/>
    <xf numFmtId="43" fontId="5" fillId="0" borderId="115" xfId="0" applyNumberFormat="1" applyFont="1" applyBorder="1" applyAlignment="1">
      <alignment vertical="center"/>
    </xf>
    <xf numFmtId="0" fontId="107" fillId="0" borderId="79" xfId="1" applyNumberFormat="1" applyFont="1" applyBorder="1" applyAlignment="1">
      <alignment horizontal="left" vertical="center"/>
    </xf>
    <xf numFmtId="0" fontId="5" fillId="0" borderId="115" xfId="0" applyFont="1" applyBorder="1" applyAlignment="1">
      <alignment horizontal="center" vertical="center"/>
    </xf>
    <xf numFmtId="43" fontId="5" fillId="0" borderId="79" xfId="0" applyNumberFormat="1" applyFont="1" applyBorder="1" applyAlignment="1">
      <alignment vertical="center"/>
    </xf>
    <xf numFmtId="0" fontId="110" fillId="0" borderId="26" xfId="0" applyFont="1" applyBorder="1" applyAlignment="1">
      <alignment horizontal="left" vertical="center"/>
    </xf>
    <xf numFmtId="43" fontId="5" fillId="0" borderId="20" xfId="1" applyFont="1" applyFill="1" applyBorder="1" applyAlignment="1">
      <alignment horizontal="center" vertical="center"/>
    </xf>
    <xf numFmtId="43" fontId="5" fillId="0" borderId="20" xfId="0" applyNumberFormat="1" applyFont="1" applyBorder="1" applyAlignment="1">
      <alignment horizontal="center"/>
    </xf>
    <xf numFmtId="0" fontId="5" fillId="0" borderId="39" xfId="1" applyNumberFormat="1" applyFont="1" applyBorder="1"/>
    <xf numFmtId="43" fontId="5" fillId="0" borderId="39" xfId="0" applyNumberFormat="1" applyFont="1" applyBorder="1" applyAlignment="1">
      <alignment horizontal="center" vertical="center"/>
    </xf>
    <xf numFmtId="43" fontId="112" fillId="0" borderId="17" xfId="1" applyFont="1" applyFill="1" applyBorder="1" applyAlignment="1">
      <alignment horizontal="right" wrapText="1"/>
    </xf>
    <xf numFmtId="0" fontId="7" fillId="0" borderId="17" xfId="0" applyFont="1" applyBorder="1" applyAlignment="1">
      <alignment horizontal="center"/>
    </xf>
    <xf numFmtId="0" fontId="110" fillId="0" borderId="26" xfId="0" applyFont="1" applyBorder="1"/>
    <xf numFmtId="2" fontId="5" fillId="0" borderId="39" xfId="1" applyNumberFormat="1" applyFont="1" applyFill="1" applyBorder="1" applyAlignment="1">
      <alignment horizontal="center"/>
    </xf>
    <xf numFmtId="0" fontId="5" fillId="0" borderId="26" xfId="0" applyFont="1" applyBorder="1"/>
    <xf numFmtId="0" fontId="5" fillId="0" borderId="15" xfId="0" applyFont="1" applyBorder="1"/>
    <xf numFmtId="2" fontId="5" fillId="0" borderId="17" xfId="1" applyNumberFormat="1" applyFont="1" applyBorder="1" applyAlignment="1">
      <alignment horizontal="center"/>
    </xf>
    <xf numFmtId="0" fontId="110" fillId="0" borderId="39" xfId="0" applyFont="1" applyBorder="1"/>
    <xf numFmtId="2" fontId="5" fillId="0" borderId="17" xfId="0" applyNumberFormat="1" applyFont="1" applyBorder="1" applyAlignment="1">
      <alignment horizontal="center"/>
    </xf>
    <xf numFmtId="0" fontId="107" fillId="0" borderId="0" xfId="1" applyNumberFormat="1" applyFont="1" applyBorder="1" applyAlignment="1">
      <alignment horizontal="left" vertical="center"/>
    </xf>
    <xf numFmtId="43" fontId="5" fillId="0" borderId="0" xfId="0" applyNumberFormat="1" applyFont="1" applyAlignment="1">
      <alignment vertical="center"/>
    </xf>
    <xf numFmtId="0" fontId="8" fillId="0" borderId="90" xfId="0" applyFont="1" applyBorder="1" applyAlignment="1">
      <alignment horizontal="center" vertical="center"/>
    </xf>
    <xf numFmtId="0" fontId="114" fillId="0" borderId="46" xfId="0" applyFont="1" applyBorder="1"/>
    <xf numFmtId="0" fontId="114" fillId="0" borderId="47" xfId="0" applyFont="1" applyBorder="1"/>
    <xf numFmtId="0" fontId="114" fillId="0" borderId="48" xfId="0" applyFont="1" applyBorder="1"/>
    <xf numFmtId="43" fontId="5" fillId="0" borderId="97" xfId="1" applyFont="1" applyFill="1" applyBorder="1" applyAlignment="1">
      <alignment horizontal="center"/>
    </xf>
    <xf numFmtId="0" fontId="7" fillId="0" borderId="79" xfId="0" applyFont="1" applyBorder="1" applyAlignment="1">
      <alignment horizontal="right" vertical="center"/>
    </xf>
    <xf numFmtId="0" fontId="7" fillId="0" borderId="79" xfId="0" applyFont="1" applyBorder="1" applyAlignment="1">
      <alignment horizontal="right"/>
    </xf>
    <xf numFmtId="43" fontId="5" fillId="0" borderId="20" xfId="1" applyFont="1" applyFill="1" applyBorder="1" applyAlignment="1">
      <alignment horizontal="center"/>
    </xf>
    <xf numFmtId="0" fontId="5" fillId="0" borderId="20" xfId="0" applyFont="1" applyBorder="1"/>
    <xf numFmtId="0" fontId="5" fillId="0" borderId="46" xfId="0" applyFont="1" applyBorder="1"/>
    <xf numFmtId="43" fontId="7" fillId="0" borderId="16" xfId="1" applyFont="1" applyBorder="1"/>
    <xf numFmtId="0" fontId="7" fillId="0" borderId="47" xfId="0" applyFont="1" applyBorder="1" applyAlignment="1">
      <alignment horizontal="center" vertical="center"/>
    </xf>
    <xf numFmtId="43" fontId="5" fillId="0" borderId="16" xfId="1" applyFont="1" applyBorder="1"/>
    <xf numFmtId="0" fontId="14" fillId="0" borderId="46" xfId="0" applyFont="1" applyBorder="1"/>
    <xf numFmtId="0" fontId="14" fillId="0" borderId="0" xfId="0" applyFont="1"/>
    <xf numFmtId="0" fontId="14" fillId="0" borderId="47" xfId="0" applyFont="1" applyBorder="1"/>
    <xf numFmtId="43" fontId="14" fillId="0" borderId="47" xfId="1" applyFont="1" applyBorder="1"/>
    <xf numFmtId="43" fontId="116" fillId="0" borderId="0" xfId="1" applyFont="1" applyBorder="1"/>
    <xf numFmtId="43" fontId="117" fillId="0" borderId="0" xfId="0" applyNumberFormat="1" applyFont="1"/>
    <xf numFmtId="43" fontId="19" fillId="0" borderId="0" xfId="1" applyFont="1" applyBorder="1"/>
    <xf numFmtId="43" fontId="18" fillId="0" borderId="0" xfId="1" applyFont="1" applyBorder="1"/>
    <xf numFmtId="43" fontId="118" fillId="0" borderId="0" xfId="0" applyNumberFormat="1" applyFont="1"/>
    <xf numFmtId="43" fontId="14" fillId="0" borderId="82" xfId="1" applyFont="1" applyBorder="1"/>
    <xf numFmtId="43" fontId="19" fillId="0" borderId="0" xfId="1" applyFont="1"/>
    <xf numFmtId="0" fontId="7" fillId="0" borderId="0" xfId="0" applyFont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/>
    <xf numFmtId="0" fontId="7" fillId="0" borderId="39" xfId="0" applyFont="1" applyBorder="1"/>
    <xf numFmtId="0" fontId="5" fillId="0" borderId="49" xfId="0" applyFont="1" applyBorder="1" applyAlignment="1">
      <alignment horizontal="center"/>
    </xf>
    <xf numFmtId="0" fontId="5" fillId="0" borderId="66" xfId="0" applyFont="1" applyBorder="1"/>
    <xf numFmtId="0" fontId="7" fillId="0" borderId="67" xfId="0" applyFont="1" applyBorder="1" applyAlignment="1">
      <alignment horizontal="right"/>
    </xf>
    <xf numFmtId="0" fontId="7" fillId="0" borderId="67" xfId="0" applyFont="1" applyBorder="1" applyAlignment="1">
      <alignment horizontal="center"/>
    </xf>
    <xf numFmtId="0" fontId="5" fillId="0" borderId="67" xfId="0" applyFont="1" applyBorder="1" applyAlignment="1">
      <alignment horizontal="center"/>
    </xf>
    <xf numFmtId="2" fontId="5" fillId="0" borderId="67" xfId="1" applyNumberFormat="1" applyFont="1" applyBorder="1" applyAlignment="1">
      <alignment horizontal="center"/>
    </xf>
    <xf numFmtId="43" fontId="5" fillId="0" borderId="38" xfId="1" applyFont="1" applyBorder="1"/>
    <xf numFmtId="0" fontId="86" fillId="0" borderId="0" xfId="0" applyFont="1" applyAlignment="1">
      <alignment horizontal="center" vertical="center"/>
    </xf>
    <xf numFmtId="0" fontId="5" fillId="0" borderId="60" xfId="0" applyFont="1" applyBorder="1" applyAlignment="1">
      <alignment horizontal="center"/>
    </xf>
    <xf numFmtId="43" fontId="5" fillId="0" borderId="61" xfId="0" applyNumberFormat="1" applyFont="1" applyBorder="1" applyAlignment="1">
      <alignment horizontal="center" vertical="center"/>
    </xf>
    <xf numFmtId="0" fontId="12" fillId="10" borderId="0" xfId="0" applyFont="1" applyFill="1"/>
    <xf numFmtId="0" fontId="7" fillId="0" borderId="39" xfId="0" applyFont="1" applyBorder="1" applyAlignment="1">
      <alignment horizontal="center" vertical="center"/>
    </xf>
    <xf numFmtId="43" fontId="14" fillId="0" borderId="0" xfId="1" applyFont="1"/>
    <xf numFmtId="43" fontId="7" fillId="0" borderId="49" xfId="1" applyFont="1" applyBorder="1"/>
    <xf numFmtId="43" fontId="7" fillId="0" borderId="49" xfId="1" applyFont="1" applyBorder="1" applyAlignment="1">
      <alignment horizontal="center"/>
    </xf>
    <xf numFmtId="0" fontId="14" fillId="0" borderId="0" xfId="0" applyFont="1" applyAlignment="1">
      <alignment horizontal="center"/>
    </xf>
    <xf numFmtId="43" fontId="14" fillId="0" borderId="0" xfId="0" applyNumberFormat="1" applyFont="1"/>
    <xf numFmtId="0" fontId="88" fillId="10" borderId="0" xfId="0" applyFont="1" applyFill="1" applyAlignment="1">
      <alignment horizontal="center" vertical="center"/>
    </xf>
    <xf numFmtId="0" fontId="86" fillId="0" borderId="47" xfId="0" applyFont="1" applyBorder="1" applyAlignment="1">
      <alignment horizontal="center" vertical="center"/>
    </xf>
    <xf numFmtId="4" fontId="86" fillId="0" borderId="0" xfId="0" applyNumberFormat="1" applyFont="1"/>
    <xf numFmtId="43" fontId="7" fillId="0" borderId="0" xfId="1" applyFont="1" applyBorder="1"/>
    <xf numFmtId="0" fontId="107" fillId="0" borderId="39" xfId="0" applyFont="1" applyBorder="1" applyAlignment="1">
      <alignment vertical="center"/>
    </xf>
    <xf numFmtId="0" fontId="12" fillId="0" borderId="15" xfId="1" applyNumberFormat="1" applyFont="1" applyBorder="1" applyAlignment="1">
      <alignment vertical="center"/>
    </xf>
    <xf numFmtId="43" fontId="5" fillId="0" borderId="17" xfId="0" applyNumberFormat="1" applyFont="1" applyBorder="1" applyAlignment="1">
      <alignment horizontal="center" vertical="center"/>
    </xf>
    <xf numFmtId="0" fontId="107" fillId="0" borderId="15" xfId="1" applyNumberFormat="1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43" fontId="5" fillId="0" borderId="15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43" fontId="5" fillId="0" borderId="90" xfId="1" applyFont="1" applyBorder="1" applyAlignment="1">
      <alignment horizontal="center"/>
    </xf>
    <xf numFmtId="0" fontId="5" fillId="0" borderId="90" xfId="0" applyFont="1" applyBorder="1" applyAlignment="1">
      <alignment horizontal="center" vertical="center"/>
    </xf>
    <xf numFmtId="0" fontId="18" fillId="0" borderId="47" xfId="0" applyFont="1" applyBorder="1"/>
    <xf numFmtId="0" fontId="18" fillId="0" borderId="48" xfId="0" applyFont="1" applyBorder="1"/>
    <xf numFmtId="43" fontId="7" fillId="0" borderId="75" xfId="1" applyFont="1" applyBorder="1"/>
    <xf numFmtId="0" fontId="107" fillId="0" borderId="15" xfId="0" applyFont="1" applyBorder="1" applyAlignment="1">
      <alignment vertical="center"/>
    </xf>
    <xf numFmtId="43" fontId="107" fillId="0" borderId="16" xfId="1" applyFont="1" applyBorder="1" applyAlignment="1">
      <alignment vertical="center"/>
    </xf>
    <xf numFmtId="43" fontId="5" fillId="0" borderId="39" xfId="0" applyNumberFormat="1" applyFont="1" applyBorder="1"/>
    <xf numFmtId="43" fontId="107" fillId="0" borderId="17" xfId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/>
    </xf>
    <xf numFmtId="0" fontId="8" fillId="0" borderId="16" xfId="0" applyFont="1" applyBorder="1" applyAlignment="1">
      <alignment vertical="center"/>
    </xf>
    <xf numFmtId="43" fontId="8" fillId="0" borderId="16" xfId="1" applyFont="1" applyBorder="1" applyAlignment="1">
      <alignment vertical="center"/>
    </xf>
    <xf numFmtId="43" fontId="107" fillId="0" borderId="15" xfId="1" applyFont="1" applyBorder="1" applyAlignment="1">
      <alignment horizontal="center" vertical="center"/>
    </xf>
    <xf numFmtId="43" fontId="5" fillId="0" borderId="16" xfId="0" applyNumberFormat="1" applyFont="1" applyBorder="1" applyAlignment="1">
      <alignment horizontal="center" vertical="center"/>
    </xf>
    <xf numFmtId="0" fontId="107" fillId="0" borderId="17" xfId="0" applyFont="1" applyBorder="1" applyAlignment="1">
      <alignment horizontal="center" vertical="center"/>
    </xf>
    <xf numFmtId="43" fontId="5" fillId="0" borderId="62" xfId="0" applyNumberFormat="1" applyFont="1" applyBorder="1" applyAlignment="1">
      <alignment horizontal="center" vertical="center"/>
    </xf>
    <xf numFmtId="43" fontId="5" fillId="0" borderId="18" xfId="0" applyNumberFormat="1" applyFont="1" applyBorder="1" applyAlignment="1">
      <alignment horizontal="center"/>
    </xf>
    <xf numFmtId="0" fontId="7" fillId="0" borderId="34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107" fillId="0" borderId="24" xfId="0" applyFont="1" applyBorder="1" applyAlignment="1">
      <alignment horizontal="center" vertical="center"/>
    </xf>
    <xf numFmtId="43" fontId="86" fillId="0" borderId="24" xfId="0" applyNumberFormat="1" applyFont="1" applyBorder="1" applyAlignment="1">
      <alignment horizontal="center"/>
    </xf>
    <xf numFmtId="0" fontId="7" fillId="0" borderId="116" xfId="0" applyFont="1" applyBorder="1" applyAlignment="1">
      <alignment horizontal="center" vertical="center"/>
    </xf>
    <xf numFmtId="43" fontId="5" fillId="0" borderId="37" xfId="0" applyNumberFormat="1" applyFont="1" applyBorder="1" applyAlignment="1">
      <alignment horizontal="center" vertical="center"/>
    </xf>
    <xf numFmtId="0" fontId="107" fillId="0" borderId="37" xfId="0" applyFont="1" applyBorder="1" applyAlignment="1">
      <alignment horizontal="center" vertical="center"/>
    </xf>
    <xf numFmtId="43" fontId="86" fillId="0" borderId="37" xfId="0" applyNumberFormat="1" applyFont="1" applyBorder="1" applyAlignment="1">
      <alignment horizontal="center"/>
    </xf>
    <xf numFmtId="0" fontId="7" fillId="0" borderId="117" xfId="0" applyFont="1" applyBorder="1" applyAlignment="1">
      <alignment horizontal="center" vertical="center"/>
    </xf>
    <xf numFmtId="0" fontId="5" fillId="0" borderId="61" xfId="0" applyFont="1" applyBorder="1" applyAlignment="1">
      <alignment horizontal="left" vertical="center"/>
    </xf>
    <xf numFmtId="0" fontId="107" fillId="0" borderId="61" xfId="0" applyFont="1" applyBorder="1" applyAlignment="1">
      <alignment horizontal="center" vertical="center"/>
    </xf>
    <xf numFmtId="43" fontId="86" fillId="0" borderId="61" xfId="0" applyNumberFormat="1" applyFont="1" applyBorder="1" applyAlignment="1">
      <alignment horizontal="center"/>
    </xf>
    <xf numFmtId="43" fontId="86" fillId="0" borderId="0" xfId="1" applyFont="1" applyFill="1" applyAlignment="1"/>
    <xf numFmtId="0" fontId="5" fillId="0" borderId="82" xfId="0" applyFont="1" applyBorder="1" applyAlignment="1">
      <alignment horizontal="center" vertical="center"/>
    </xf>
    <xf numFmtId="43" fontId="7" fillId="0" borderId="23" xfId="1" applyFont="1" applyBorder="1"/>
    <xf numFmtId="0" fontId="5" fillId="0" borderId="48" xfId="0" applyFont="1" applyBorder="1" applyAlignment="1">
      <alignment horizontal="center" vertical="center"/>
    </xf>
    <xf numFmtId="43" fontId="5" fillId="0" borderId="37" xfId="1" applyFont="1" applyBorder="1"/>
    <xf numFmtId="43" fontId="7" fillId="0" borderId="12" xfId="1" applyFont="1" applyBorder="1"/>
    <xf numFmtId="43" fontId="7" fillId="0" borderId="11" xfId="1" applyFont="1" applyBorder="1"/>
    <xf numFmtId="43" fontId="5" fillId="0" borderId="11" xfId="1" applyFont="1" applyBorder="1"/>
    <xf numFmtId="0" fontId="7" fillId="0" borderId="35" xfId="3" applyFont="1" applyBorder="1" applyAlignment="1">
      <alignment horizontal="right" vertical="center"/>
    </xf>
    <xf numFmtId="0" fontId="5" fillId="0" borderId="48" xfId="0" applyFont="1" applyBorder="1"/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8" fillId="0" borderId="26" xfId="0" applyFont="1" applyBorder="1" applyAlignment="1">
      <alignment horizontal="left" vertical="center"/>
    </xf>
    <xf numFmtId="43" fontId="5" fillId="0" borderId="16" xfId="0" applyNumberFormat="1" applyFont="1" applyBorder="1"/>
    <xf numFmtId="43" fontId="5" fillId="0" borderId="39" xfId="0" applyNumberFormat="1" applyFont="1" applyBorder="1" applyAlignment="1">
      <alignment horizontal="center"/>
    </xf>
    <xf numFmtId="4" fontId="5" fillId="0" borderId="17" xfId="0" applyNumberFormat="1" applyFont="1" applyBorder="1" applyAlignment="1">
      <alignment horizontal="center" vertical="center"/>
    </xf>
    <xf numFmtId="43" fontId="5" fillId="0" borderId="17" xfId="0" applyNumberFormat="1" applyFont="1" applyBorder="1" applyAlignment="1">
      <alignment horizontal="center" vertical="center" wrapText="1"/>
    </xf>
    <xf numFmtId="173" fontId="5" fillId="0" borderId="20" xfId="1" applyNumberFormat="1" applyFont="1" applyBorder="1"/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19" fillId="0" borderId="0" xfId="0" applyFont="1"/>
    <xf numFmtId="43" fontId="5" fillId="0" borderId="31" xfId="0" applyNumberFormat="1" applyFont="1" applyBorder="1" applyAlignment="1">
      <alignment horizontal="center" vertical="center"/>
    </xf>
    <xf numFmtId="43" fontId="5" fillId="0" borderId="15" xfId="1" applyFont="1" applyBorder="1"/>
    <xf numFmtId="43" fontId="7" fillId="0" borderId="20" xfId="1" applyFont="1" applyBorder="1"/>
    <xf numFmtId="43" fontId="7" fillId="0" borderId="26" xfId="1" applyFont="1" applyBorder="1"/>
    <xf numFmtId="43" fontId="5" fillId="0" borderId="26" xfId="1" applyFont="1" applyBorder="1"/>
    <xf numFmtId="0" fontId="7" fillId="0" borderId="27" xfId="0" applyFont="1" applyBorder="1"/>
    <xf numFmtId="0" fontId="120" fillId="0" borderId="0" xfId="0" applyFont="1"/>
    <xf numFmtId="0" fontId="5" fillId="0" borderId="62" xfId="4" applyFont="1" applyBorder="1" applyAlignment="1">
      <alignment vertical="center"/>
    </xf>
    <xf numFmtId="0" fontId="7" fillId="0" borderId="26" xfId="0" applyFont="1" applyBorder="1"/>
    <xf numFmtId="0" fontId="118" fillId="0" borderId="0" xfId="0" applyFont="1"/>
    <xf numFmtId="43" fontId="14" fillId="0" borderId="0" xfId="1" applyFont="1" applyBorder="1"/>
    <xf numFmtId="2" fontId="5" fillId="0" borderId="0" xfId="1" applyNumberFormat="1" applyFont="1" applyBorder="1" applyAlignment="1">
      <alignment horizontal="center"/>
    </xf>
    <xf numFmtId="0" fontId="7" fillId="0" borderId="35" xfId="7" applyFont="1" applyBorder="1" applyAlignment="1" applyProtection="1">
      <alignment horizontal="center" vertical="center"/>
      <protection hidden="1"/>
    </xf>
    <xf numFmtId="0" fontId="7" fillId="0" borderId="8" xfId="7" applyFont="1" applyBorder="1" applyAlignment="1" applyProtection="1">
      <alignment horizontal="center" vertical="center"/>
      <protection hidden="1"/>
    </xf>
    <xf numFmtId="0" fontId="7" fillId="0" borderId="9" xfId="7" applyFont="1" applyBorder="1" applyAlignment="1" applyProtection="1">
      <alignment horizontal="center" vertical="center"/>
      <protection hidden="1"/>
    </xf>
    <xf numFmtId="0" fontId="7" fillId="0" borderId="9" xfId="7" applyFont="1" applyBorder="1" applyAlignment="1" applyProtection="1">
      <alignment horizontal="center"/>
      <protection hidden="1"/>
    </xf>
    <xf numFmtId="2" fontId="5" fillId="0" borderId="13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7" xfId="0" applyFont="1" applyBorder="1" applyAlignment="1">
      <alignment horizontal="left"/>
    </xf>
    <xf numFmtId="2" fontId="5" fillId="0" borderId="20" xfId="0" applyNumberFormat="1" applyFont="1" applyBorder="1" applyAlignment="1">
      <alignment horizontal="center"/>
    </xf>
    <xf numFmtId="0" fontId="5" fillId="0" borderId="8" xfId="0" applyFont="1" applyBorder="1"/>
    <xf numFmtId="0" fontId="5" fillId="0" borderId="9" xfId="0" applyFont="1" applyBorder="1"/>
    <xf numFmtId="4" fontId="86" fillId="0" borderId="39" xfId="0" applyNumberFormat="1" applyFont="1" applyBorder="1" applyAlignment="1">
      <alignment horizontal="center"/>
    </xf>
    <xf numFmtId="4" fontId="25" fillId="0" borderId="0" xfId="0" applyNumberFormat="1" applyFont="1"/>
    <xf numFmtId="14" fontId="5" fillId="0" borderId="13" xfId="0" applyNumberFormat="1" applyFont="1" applyBorder="1"/>
    <xf numFmtId="0" fontId="112" fillId="11" borderId="49" xfId="0" applyFont="1" applyFill="1" applyBorder="1" applyAlignment="1">
      <alignment wrapText="1"/>
    </xf>
    <xf numFmtId="0" fontId="112" fillId="11" borderId="49" xfId="0" applyFont="1" applyFill="1" applyBorder="1" applyAlignment="1">
      <alignment horizontal="center" wrapText="1"/>
    </xf>
    <xf numFmtId="14" fontId="5" fillId="0" borderId="20" xfId="0" applyNumberFormat="1" applyFont="1" applyBorder="1"/>
    <xf numFmtId="0" fontId="112" fillId="11" borderId="0" xfId="0" applyFont="1" applyFill="1" applyAlignment="1">
      <alignment wrapText="1"/>
    </xf>
    <xf numFmtId="0" fontId="112" fillId="11" borderId="0" xfId="0" applyFont="1" applyFill="1" applyAlignment="1">
      <alignment horizontal="center" wrapText="1"/>
    </xf>
    <xf numFmtId="2" fontId="5" fillId="2" borderId="17" xfId="0" applyNumberFormat="1" applyFont="1" applyFill="1" applyBorder="1" applyAlignment="1">
      <alignment horizontal="center"/>
    </xf>
    <xf numFmtId="14" fontId="5" fillId="0" borderId="17" xfId="0" applyNumberFormat="1" applyFont="1" applyBorder="1"/>
    <xf numFmtId="4" fontId="12" fillId="0" borderId="0" xfId="0" applyNumberFormat="1" applyFont="1"/>
    <xf numFmtId="2" fontId="5" fillId="2" borderId="20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3" fillId="11" borderId="49" xfId="0" applyFont="1" applyFill="1" applyBorder="1" applyAlignment="1">
      <alignment horizontal="right" wrapText="1"/>
    </xf>
    <xf numFmtId="0" fontId="112" fillId="11" borderId="0" xfId="0" applyFont="1" applyFill="1" applyAlignment="1">
      <alignment horizontal="right" wrapText="1"/>
    </xf>
    <xf numFmtId="0" fontId="89" fillId="10" borderId="57" xfId="0" applyFont="1" applyFill="1" applyBorder="1" applyAlignment="1">
      <alignment horizontal="left"/>
    </xf>
    <xf numFmtId="0" fontId="89" fillId="10" borderId="57" xfId="0" applyFont="1" applyFill="1" applyBorder="1" applyAlignment="1">
      <alignment horizontal="centerContinuous"/>
    </xf>
    <xf numFmtId="0" fontId="90" fillId="10" borderId="57" xfId="0" applyFont="1" applyFill="1" applyBorder="1"/>
    <xf numFmtId="2" fontId="89" fillId="10" borderId="57" xfId="0" applyNumberFormat="1" applyFont="1" applyFill="1" applyBorder="1" applyAlignment="1">
      <alignment horizontal="centerContinuous"/>
    </xf>
    <xf numFmtId="174" fontId="89" fillId="10" borderId="57" xfId="0" applyNumberFormat="1" applyFont="1" applyFill="1" applyBorder="1" applyAlignment="1">
      <alignment horizontal="centerContinuous"/>
    </xf>
    <xf numFmtId="3" fontId="89" fillId="10" borderId="57" xfId="0" applyNumberFormat="1" applyFont="1" applyFill="1" applyBorder="1" applyAlignment="1">
      <alignment horizontal="centerContinuous"/>
    </xf>
    <xf numFmtId="0" fontId="90" fillId="10" borderId="57" xfId="0" applyFont="1" applyFill="1" applyBorder="1" applyAlignment="1">
      <alignment horizontal="centerContinuous"/>
    </xf>
    <xf numFmtId="2" fontId="89" fillId="10" borderId="57" xfId="0" applyNumberFormat="1" applyFont="1" applyFill="1" applyBorder="1"/>
    <xf numFmtId="174" fontId="89" fillId="10" borderId="57" xfId="0" applyNumberFormat="1" applyFont="1" applyFill="1" applyBorder="1"/>
    <xf numFmtId="49" fontId="90" fillId="10" borderId="57" xfId="0" applyNumberFormat="1" applyFont="1" applyFill="1" applyBorder="1"/>
    <xf numFmtId="3" fontId="90" fillId="10" borderId="57" xfId="0" applyNumberFormat="1" applyFont="1" applyFill="1" applyBorder="1"/>
    <xf numFmtId="175" fontId="90" fillId="10" borderId="57" xfId="0" applyNumberFormat="1" applyFont="1" applyFill="1" applyBorder="1"/>
    <xf numFmtId="0" fontId="89" fillId="10" borderId="0" xfId="0" applyFont="1" applyFill="1" applyAlignment="1">
      <alignment horizontal="left"/>
    </xf>
    <xf numFmtId="0" fontId="89" fillId="10" borderId="0" xfId="0" applyFont="1" applyFill="1" applyAlignment="1">
      <alignment horizontal="centerContinuous"/>
    </xf>
    <xf numFmtId="2" fontId="89" fillId="10" borderId="0" xfId="0" applyNumberFormat="1" applyFont="1" applyFill="1"/>
    <xf numFmtId="174" fontId="89" fillId="10" borderId="0" xfId="0" applyNumberFormat="1" applyFont="1" applyFill="1" applyAlignment="1">
      <alignment horizontal="centerContinuous"/>
    </xf>
    <xf numFmtId="3" fontId="89" fillId="10" borderId="0" xfId="0" applyNumberFormat="1" applyFont="1" applyFill="1" applyAlignment="1">
      <alignment horizontal="centerContinuous"/>
    </xf>
    <xf numFmtId="0" fontId="89" fillId="10" borderId="109" xfId="0" applyFont="1" applyFill="1" applyBorder="1" applyAlignment="1">
      <alignment horizontal="center"/>
    </xf>
    <xf numFmtId="0" fontId="89" fillId="10" borderId="110" xfId="0" applyFont="1" applyFill="1" applyBorder="1" applyAlignment="1">
      <alignment horizontal="centerContinuous"/>
    </xf>
    <xf numFmtId="0" fontId="89" fillId="10" borderId="111" xfId="0" applyFont="1" applyFill="1" applyBorder="1" applyAlignment="1">
      <alignment horizontal="centerContinuous"/>
    </xf>
    <xf numFmtId="2" fontId="89" fillId="10" borderId="109" xfId="0" applyNumberFormat="1" applyFont="1" applyFill="1" applyBorder="1" applyAlignment="1">
      <alignment horizontal="centerContinuous"/>
    </xf>
    <xf numFmtId="0" fontId="89" fillId="10" borderId="109" xfId="0" applyFont="1" applyFill="1" applyBorder="1" applyAlignment="1">
      <alignment horizontal="centerContinuous"/>
    </xf>
    <xf numFmtId="174" fontId="89" fillId="10" borderId="49" xfId="0" applyNumberFormat="1" applyFont="1" applyFill="1" applyBorder="1" applyAlignment="1">
      <alignment horizontal="centerContinuous"/>
    </xf>
    <xf numFmtId="3" fontId="89" fillId="10" borderId="49" xfId="0" applyNumberFormat="1" applyFont="1" applyFill="1" applyBorder="1" applyAlignment="1">
      <alignment horizontal="centerContinuous"/>
    </xf>
    <xf numFmtId="0" fontId="89" fillId="10" borderId="56" xfId="0" applyFont="1" applyFill="1" applyBorder="1" applyAlignment="1">
      <alignment horizontal="center"/>
    </xf>
    <xf numFmtId="0" fontId="89" fillId="10" borderId="53" xfId="0" applyFont="1" applyFill="1" applyBorder="1" applyAlignment="1">
      <alignment horizontal="left"/>
    </xf>
    <xf numFmtId="0" fontId="89" fillId="10" borderId="55" xfId="0" applyFont="1" applyFill="1" applyBorder="1" applyAlignment="1">
      <alignment horizontal="left"/>
    </xf>
    <xf numFmtId="2" fontId="89" fillId="10" borderId="53" xfId="0" applyNumberFormat="1" applyFont="1" applyFill="1" applyBorder="1" applyAlignment="1">
      <alignment horizontal="centerContinuous"/>
    </xf>
    <xf numFmtId="0" fontId="89" fillId="10" borderId="55" xfId="0" applyFont="1" applyFill="1" applyBorder="1" applyAlignment="1">
      <alignment horizontal="centerContinuous"/>
    </xf>
    <xf numFmtId="174" fontId="91" fillId="10" borderId="56" xfId="0" applyNumberFormat="1" applyFont="1" applyFill="1" applyBorder="1" applyAlignment="1">
      <alignment horizontal="center"/>
    </xf>
    <xf numFmtId="3" fontId="89" fillId="10" borderId="56" xfId="0" applyNumberFormat="1" applyFont="1" applyFill="1" applyBorder="1" applyAlignment="1">
      <alignment horizontal="center"/>
    </xf>
    <xf numFmtId="0" fontId="88" fillId="10" borderId="59" xfId="0" applyFont="1" applyFill="1" applyBorder="1" applyAlignment="1">
      <alignment horizontal="right"/>
    </xf>
    <xf numFmtId="4" fontId="88" fillId="10" borderId="60" xfId="0" applyNumberFormat="1" applyFont="1" applyFill="1" applyBorder="1" applyAlignment="1">
      <alignment vertical="top" wrapText="1"/>
    </xf>
    <xf numFmtId="0" fontId="89" fillId="10" borderId="20" xfId="0" applyFont="1" applyFill="1" applyBorder="1" applyAlignment="1">
      <alignment horizontal="center"/>
    </xf>
    <xf numFmtId="0" fontId="89" fillId="10" borderId="26" xfId="0" applyFont="1" applyFill="1" applyBorder="1"/>
    <xf numFmtId="0" fontId="89" fillId="10" borderId="27" xfId="0" applyFont="1" applyFill="1" applyBorder="1" applyAlignment="1">
      <alignment horizontal="right"/>
    </xf>
    <xf numFmtId="2" fontId="89" fillId="10" borderId="26" xfId="0" applyNumberFormat="1" applyFont="1" applyFill="1" applyBorder="1" applyAlignment="1">
      <alignment horizontal="right"/>
    </xf>
    <xf numFmtId="0" fontId="89" fillId="10" borderId="27" xfId="0" applyFont="1" applyFill="1" applyBorder="1" applyAlignment="1">
      <alignment horizontal="left"/>
    </xf>
    <xf numFmtId="4" fontId="89" fillId="10" borderId="20" xfId="0" applyNumberFormat="1" applyFont="1" applyFill="1" applyBorder="1" applyAlignment="1">
      <alignment horizontal="right"/>
    </xf>
    <xf numFmtId="4" fontId="89" fillId="10" borderId="20" xfId="0" applyNumberFormat="1" applyFont="1" applyFill="1" applyBorder="1"/>
    <xf numFmtId="4" fontId="89" fillId="10" borderId="20" xfId="0" applyNumberFormat="1" applyFont="1" applyFill="1" applyBorder="1" applyAlignment="1">
      <alignment vertical="top" wrapText="1"/>
    </xf>
    <xf numFmtId="0" fontId="89" fillId="10" borderId="103" xfId="0" applyFont="1" applyFill="1" applyBorder="1" applyAlignment="1">
      <alignment horizontal="center"/>
    </xf>
    <xf numFmtId="0" fontId="89" fillId="10" borderId="92" xfId="0" applyFont="1" applyFill="1" applyBorder="1"/>
    <xf numFmtId="0" fontId="89" fillId="10" borderId="55" xfId="0" applyFont="1" applyFill="1" applyBorder="1" applyAlignment="1">
      <alignment horizontal="right"/>
    </xf>
    <xf numFmtId="2" fontId="89" fillId="10" borderId="92" xfId="0" applyNumberFormat="1" applyFont="1" applyFill="1" applyBorder="1" applyAlignment="1">
      <alignment horizontal="right"/>
    </xf>
    <xf numFmtId="0" fontId="89" fillId="10" borderId="94" xfId="0" applyFont="1" applyFill="1" applyBorder="1" applyAlignment="1">
      <alignment horizontal="left"/>
    </xf>
    <xf numFmtId="4" fontId="89" fillId="10" borderId="103" xfId="0" applyNumberFormat="1" applyFont="1" applyFill="1" applyBorder="1" applyAlignment="1">
      <alignment horizontal="right"/>
    </xf>
    <xf numFmtId="4" fontId="89" fillId="10" borderId="103" xfId="0" applyNumberFormat="1" applyFont="1" applyFill="1" applyBorder="1"/>
    <xf numFmtId="4" fontId="89" fillId="10" borderId="103" xfId="0" applyNumberFormat="1" applyFont="1" applyFill="1" applyBorder="1" applyAlignment="1">
      <alignment vertical="top" wrapText="1"/>
    </xf>
    <xf numFmtId="0" fontId="89" fillId="10" borderId="53" xfId="0" applyFont="1" applyFill="1" applyBorder="1"/>
    <xf numFmtId="2" fontId="89" fillId="10" borderId="53" xfId="0" applyNumberFormat="1" applyFont="1" applyFill="1" applyBorder="1" applyAlignment="1">
      <alignment horizontal="right"/>
    </xf>
    <xf numFmtId="4" fontId="89" fillId="10" borderId="56" xfId="0" applyNumberFormat="1" applyFont="1" applyFill="1" applyBorder="1" applyAlignment="1">
      <alignment horizontal="right"/>
    </xf>
    <xf numFmtId="4" fontId="89" fillId="10" borderId="56" xfId="0" applyNumberFormat="1" applyFont="1" applyFill="1" applyBorder="1"/>
    <xf numFmtId="4" fontId="89" fillId="10" borderId="56" xfId="0" applyNumberFormat="1" applyFont="1" applyFill="1" applyBorder="1" applyAlignment="1">
      <alignment vertical="top" wrapText="1"/>
    </xf>
    <xf numFmtId="4" fontId="89" fillId="10" borderId="57" xfId="0" applyNumberFormat="1" applyFont="1" applyFill="1" applyBorder="1" applyAlignment="1">
      <alignment horizontal="centerContinuous"/>
    </xf>
    <xf numFmtId="0" fontId="88" fillId="10" borderId="57" xfId="0" applyFont="1" applyFill="1" applyBorder="1"/>
    <xf numFmtId="4" fontId="90" fillId="10" borderId="57" xfId="0" applyNumberFormat="1" applyFont="1" applyFill="1" applyBorder="1" applyAlignment="1">
      <alignment horizontal="centerContinuous"/>
    </xf>
    <xf numFmtId="0" fontId="94" fillId="10" borderId="57" xfId="0" applyFont="1" applyFill="1" applyBorder="1"/>
    <xf numFmtId="4" fontId="89" fillId="10" borderId="0" xfId="0" applyNumberFormat="1" applyFont="1" applyFill="1" applyAlignment="1">
      <alignment horizontal="centerContinuous"/>
    </xf>
    <xf numFmtId="4" fontId="89" fillId="10" borderId="49" xfId="0" applyNumberFormat="1" applyFont="1" applyFill="1" applyBorder="1" applyAlignment="1">
      <alignment horizontal="centerContinuous"/>
    </xf>
    <xf numFmtId="0" fontId="89" fillId="10" borderId="109" xfId="0" applyFont="1" applyFill="1" applyBorder="1" applyAlignment="1">
      <alignment horizontal="center" vertical="center"/>
    </xf>
    <xf numFmtId="4" fontId="89" fillId="10" borderId="56" xfId="0" applyNumberFormat="1" applyFont="1" applyFill="1" applyBorder="1" applyAlignment="1">
      <alignment horizontal="center"/>
    </xf>
    <xf numFmtId="0" fontId="88" fillId="10" borderId="56" xfId="0" applyFont="1" applyFill="1" applyBorder="1"/>
    <xf numFmtId="4" fontId="89" fillId="10" borderId="27" xfId="0" applyNumberFormat="1" applyFont="1" applyFill="1" applyBorder="1"/>
    <xf numFmtId="0" fontId="89" fillId="10" borderId="20" xfId="0" applyFont="1" applyFill="1" applyBorder="1"/>
    <xf numFmtId="0" fontId="89" fillId="10" borderId="103" xfId="0" applyFont="1" applyFill="1" applyBorder="1"/>
    <xf numFmtId="0" fontId="89" fillId="10" borderId="56" xfId="0" applyFont="1" applyFill="1" applyBorder="1"/>
    <xf numFmtId="0" fontId="88" fillId="10" borderId="110" xfId="0" applyFont="1" applyFill="1" applyBorder="1"/>
    <xf numFmtId="0" fontId="88" fillId="10" borderId="111" xfId="0" applyFont="1" applyFill="1" applyBorder="1"/>
    <xf numFmtId="1" fontId="88" fillId="10" borderId="59" xfId="0" applyNumberFormat="1" applyFont="1" applyFill="1" applyBorder="1" applyAlignment="1">
      <alignment horizontal="right"/>
    </xf>
    <xf numFmtId="174" fontId="88" fillId="10" borderId="60" xfId="0" applyNumberFormat="1" applyFont="1" applyFill="1" applyBorder="1" applyAlignment="1">
      <alignment horizontal="right"/>
    </xf>
    <xf numFmtId="174" fontId="88" fillId="10" borderId="60" xfId="0" applyNumberFormat="1" applyFont="1" applyFill="1" applyBorder="1" applyAlignment="1">
      <alignment horizontal="right" vertical="top" wrapText="1"/>
    </xf>
    <xf numFmtId="0" fontId="88" fillId="10" borderId="59" xfId="0" applyFont="1" applyFill="1" applyBorder="1"/>
    <xf numFmtId="2" fontId="88" fillId="10" borderId="59" xfId="0" applyNumberFormat="1" applyFont="1" applyFill="1" applyBorder="1" applyAlignment="1">
      <alignment horizontal="right"/>
    </xf>
    <xf numFmtId="3" fontId="88" fillId="10" borderId="60" xfId="0" applyNumberFormat="1" applyFont="1" applyFill="1" applyBorder="1" applyAlignment="1">
      <alignment horizontal="right"/>
    </xf>
    <xf numFmtId="4" fontId="88" fillId="10" borderId="109" xfId="0" applyNumberFormat="1" applyFont="1" applyFill="1" applyBorder="1"/>
    <xf numFmtId="0" fontId="88" fillId="10" borderId="109" xfId="0" applyFont="1" applyFill="1" applyBorder="1"/>
    <xf numFmtId="0" fontId="88" fillId="10" borderId="60" xfId="0" applyFont="1" applyFill="1" applyBorder="1"/>
    <xf numFmtId="0" fontId="121" fillId="0" borderId="0" xfId="0" applyFont="1"/>
    <xf numFmtId="0" fontId="95" fillId="0" borderId="0" xfId="0" applyFont="1"/>
    <xf numFmtId="0" fontId="122" fillId="0" borderId="0" xfId="20" applyFont="1"/>
    <xf numFmtId="0" fontId="123" fillId="0" borderId="0" xfId="20" applyFont="1"/>
    <xf numFmtId="0" fontId="123" fillId="0" borderId="109" xfId="20" applyFont="1" applyBorder="1" applyAlignment="1">
      <alignment horizontal="center"/>
    </xf>
    <xf numFmtId="0" fontId="123" fillId="0" borderId="110" xfId="20" applyFont="1" applyBorder="1"/>
    <xf numFmtId="0" fontId="123" fillId="0" borderId="112" xfId="20" applyFont="1" applyBorder="1"/>
    <xf numFmtId="0" fontId="123" fillId="0" borderId="111" xfId="20" applyFont="1" applyBorder="1"/>
    <xf numFmtId="0" fontId="123" fillId="0" borderId="109" xfId="20" applyFont="1" applyBorder="1"/>
    <xf numFmtId="0" fontId="123" fillId="0" borderId="66" xfId="20" applyFont="1" applyBorder="1"/>
    <xf numFmtId="0" fontId="123" fillId="0" borderId="38" xfId="20" applyFont="1" applyBorder="1"/>
    <xf numFmtId="0" fontId="123" fillId="0" borderId="56" xfId="20" applyFont="1" applyBorder="1"/>
    <xf numFmtId="0" fontId="123" fillId="0" borderId="53" xfId="20" applyFont="1" applyBorder="1"/>
    <xf numFmtId="0" fontId="123" fillId="0" borderId="54" xfId="20" applyFont="1" applyBorder="1"/>
    <xf numFmtId="0" fontId="123" fillId="0" borderId="55" xfId="20" applyFont="1" applyBorder="1"/>
    <xf numFmtId="0" fontId="123" fillId="0" borderId="49" xfId="20" applyFont="1" applyBorder="1"/>
    <xf numFmtId="0" fontId="123" fillId="0" borderId="49" xfId="20" applyFont="1" applyBorder="1" applyAlignment="1">
      <alignment horizontal="center"/>
    </xf>
    <xf numFmtId="0" fontId="122" fillId="0" borderId="54" xfId="20" applyFont="1" applyBorder="1"/>
    <xf numFmtId="4" fontId="123" fillId="0" borderId="49" xfId="20" applyNumberFormat="1" applyFont="1" applyBorder="1" applyAlignment="1">
      <alignment horizontal="center"/>
    </xf>
    <xf numFmtId="4" fontId="123" fillId="0" borderId="49" xfId="20" applyNumberFormat="1" applyFont="1" applyBorder="1"/>
    <xf numFmtId="0" fontId="123" fillId="0" borderId="67" xfId="20" applyFont="1" applyBorder="1"/>
    <xf numFmtId="2" fontId="123" fillId="0" borderId="49" xfId="20" applyNumberFormat="1" applyFont="1" applyBorder="1" applyAlignment="1">
      <alignment horizontal="center"/>
    </xf>
    <xf numFmtId="164" fontId="123" fillId="0" borderId="49" xfId="20" applyNumberFormat="1" applyFont="1" applyBorder="1" applyAlignment="1">
      <alignment horizontal="center"/>
    </xf>
    <xf numFmtId="0" fontId="123" fillId="0" borderId="66" xfId="20" applyFont="1" applyBorder="1" applyAlignment="1">
      <alignment horizontal="center"/>
    </xf>
    <xf numFmtId="0" fontId="122" fillId="0" borderId="67" xfId="20" applyFont="1" applyBorder="1" applyAlignment="1">
      <alignment horizontal="center"/>
    </xf>
    <xf numFmtId="2" fontId="123" fillId="0" borderId="49" xfId="20" applyNumberFormat="1" applyFont="1" applyBorder="1" applyAlignment="1">
      <alignment horizontal="right"/>
    </xf>
    <xf numFmtId="0" fontId="122" fillId="0" borderId="67" xfId="20" applyFont="1" applyBorder="1"/>
    <xf numFmtId="2" fontId="122" fillId="0" borderId="67" xfId="20" applyNumberFormat="1" applyFont="1" applyBorder="1" applyAlignment="1">
      <alignment horizontal="right"/>
    </xf>
    <xf numFmtId="4" fontId="122" fillId="0" borderId="67" xfId="20" applyNumberFormat="1" applyFont="1" applyBorder="1"/>
    <xf numFmtId="0" fontId="123" fillId="0" borderId="0" xfId="21" applyFont="1"/>
    <xf numFmtId="0" fontId="122" fillId="0" borderId="38" xfId="20" applyFont="1" applyBorder="1" applyAlignment="1">
      <alignment horizontal="center"/>
    </xf>
    <xf numFmtId="0" fontId="123" fillId="0" borderId="56" xfId="20" applyFont="1" applyBorder="1" applyAlignment="1">
      <alignment horizontal="center"/>
    </xf>
    <xf numFmtId="4" fontId="122" fillId="0" borderId="49" xfId="20" applyNumberFormat="1" applyFont="1" applyBorder="1"/>
    <xf numFmtId="4" fontId="123" fillId="0" borderId="67" xfId="20" applyNumberFormat="1" applyFont="1" applyBorder="1"/>
    <xf numFmtId="4" fontId="123" fillId="0" borderId="0" xfId="21" applyNumberFormat="1" applyFont="1"/>
    <xf numFmtId="0" fontId="122" fillId="0" borderId="66" xfId="20" applyFont="1" applyBorder="1"/>
    <xf numFmtId="0" fontId="123" fillId="0" borderId="67" xfId="20" applyFont="1" applyBorder="1" applyAlignment="1">
      <alignment horizontal="center"/>
    </xf>
    <xf numFmtId="0" fontId="108" fillId="3" borderId="0" xfId="0" applyFont="1" applyFill="1"/>
    <xf numFmtId="0" fontId="108" fillId="0" borderId="0" xfId="0" applyFont="1" applyAlignment="1">
      <alignment horizontal="center"/>
    </xf>
    <xf numFmtId="43" fontId="108" fillId="0" borderId="0" xfId="1" applyFont="1"/>
    <xf numFmtId="0" fontId="5" fillId="0" borderId="54" xfId="0" applyFont="1" applyBorder="1" applyAlignment="1">
      <alignment horizontal="center"/>
    </xf>
    <xf numFmtId="0" fontId="7" fillId="0" borderId="54" xfId="0" applyFont="1" applyBorder="1"/>
    <xf numFmtId="43" fontId="7" fillId="0" borderId="54" xfId="1" applyFont="1" applyBorder="1"/>
    <xf numFmtId="0" fontId="5" fillId="0" borderId="38" xfId="0" applyFont="1" applyBorder="1"/>
    <xf numFmtId="0" fontId="5" fillId="0" borderId="53" xfId="0" applyFont="1" applyBorder="1"/>
    <xf numFmtId="0" fontId="5" fillId="0" borderId="55" xfId="0" applyFont="1" applyBorder="1"/>
    <xf numFmtId="43" fontId="7" fillId="0" borderId="55" xfId="1" applyFont="1" applyBorder="1" applyAlignment="1">
      <alignment horizontal="center"/>
    </xf>
    <xf numFmtId="43" fontId="7" fillId="0" borderId="56" xfId="1" applyFont="1" applyBorder="1" applyAlignment="1">
      <alignment horizontal="center"/>
    </xf>
    <xf numFmtId="0" fontId="7" fillId="0" borderId="86" xfId="0" applyFont="1" applyBorder="1" applyAlignment="1">
      <alignment horizontal="center"/>
    </xf>
    <xf numFmtId="0" fontId="7" fillId="0" borderId="84" xfId="0" applyFont="1" applyBorder="1" applyAlignment="1">
      <alignment vertical="center"/>
    </xf>
    <xf numFmtId="0" fontId="5" fillId="0" borderId="113" xfId="0" applyFont="1" applyBorder="1"/>
    <xf numFmtId="0" fontId="5" fillId="0" borderId="85" xfId="0" applyFont="1" applyBorder="1"/>
    <xf numFmtId="0" fontId="5" fillId="0" borderId="86" xfId="0" applyFont="1" applyBorder="1" applyAlignment="1">
      <alignment horizontal="center"/>
    </xf>
    <xf numFmtId="2" fontId="5" fillId="0" borderId="86" xfId="1" applyNumberFormat="1" applyFont="1" applyBorder="1" applyAlignment="1">
      <alignment horizontal="center"/>
    </xf>
    <xf numFmtId="43" fontId="5" fillId="0" borderId="86" xfId="1" applyFont="1" applyBorder="1"/>
    <xf numFmtId="168" fontId="5" fillId="0" borderId="17" xfId="1" applyNumberFormat="1" applyFont="1" applyBorder="1" applyAlignment="1">
      <alignment horizontal="center"/>
    </xf>
    <xf numFmtId="168" fontId="5" fillId="0" borderId="39" xfId="1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2" fontId="5" fillId="3" borderId="17" xfId="0" applyNumberFormat="1" applyFont="1" applyFill="1" applyBorder="1" applyAlignment="1">
      <alignment horizontal="center"/>
    </xf>
    <xf numFmtId="2" fontId="5" fillId="3" borderId="17" xfId="1" applyNumberFormat="1" applyFont="1" applyFill="1" applyBorder="1" applyAlignment="1">
      <alignment horizontal="center"/>
    </xf>
    <xf numFmtId="43" fontId="5" fillId="3" borderId="17" xfId="1" applyFont="1" applyFill="1" applyBorder="1"/>
    <xf numFmtId="0" fontId="5" fillId="0" borderId="66" xfId="0" applyFont="1" applyBorder="1" applyAlignment="1">
      <alignment horizontal="center"/>
    </xf>
    <xf numFmtId="0" fontId="7" fillId="0" borderId="67" xfId="0" applyFont="1" applyBorder="1"/>
    <xf numFmtId="0" fontId="5" fillId="0" borderId="67" xfId="0" applyFont="1" applyBorder="1"/>
    <xf numFmtId="0" fontId="5" fillId="0" borderId="38" xfId="0" applyFont="1" applyBorder="1" applyAlignment="1">
      <alignment horizontal="center"/>
    </xf>
    <xf numFmtId="43" fontId="5" fillId="0" borderId="49" xfId="1" applyFont="1" applyBorder="1"/>
    <xf numFmtId="43" fontId="5" fillId="0" borderId="54" xfId="0" applyNumberFormat="1" applyFont="1" applyBorder="1"/>
    <xf numFmtId="0" fontId="7" fillId="0" borderId="113" xfId="0" applyFont="1" applyBorder="1"/>
    <xf numFmtId="0" fontId="19" fillId="0" borderId="0" xfId="0" applyFont="1"/>
    <xf numFmtId="43" fontId="5" fillId="0" borderId="0" xfId="1" applyFont="1" applyBorder="1" applyAlignment="1">
      <alignment horizontal="left"/>
    </xf>
    <xf numFmtId="43" fontId="5" fillId="0" borderId="54" xfId="1" applyFont="1" applyBorder="1" applyAlignment="1">
      <alignment horizontal="left"/>
    </xf>
    <xf numFmtId="0" fontId="14" fillId="3" borderId="0" xfId="0" applyFont="1" applyFill="1"/>
    <xf numFmtId="0" fontId="5" fillId="3" borderId="0" xfId="0" applyFont="1" applyFill="1" applyAlignment="1">
      <alignment horizontal="right"/>
    </xf>
    <xf numFmtId="43" fontId="7" fillId="0" borderId="86" xfId="1" applyFont="1" applyBorder="1"/>
    <xf numFmtId="0" fontId="5" fillId="0" borderId="103" xfId="0" applyFont="1" applyBorder="1" applyAlignment="1">
      <alignment horizontal="center"/>
    </xf>
    <xf numFmtId="0" fontId="5" fillId="0" borderId="92" xfId="0" applyFont="1" applyBorder="1"/>
    <xf numFmtId="0" fontId="5" fillId="0" borderId="93" xfId="0" applyFont="1" applyBorder="1"/>
    <xf numFmtId="43" fontId="5" fillId="0" borderId="93" xfId="1" applyFont="1" applyFill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108" fillId="0" borderId="54" xfId="0" applyFont="1" applyBorder="1"/>
    <xf numFmtId="0" fontId="7" fillId="0" borderId="54" xfId="0" applyFont="1" applyBorder="1" applyAlignment="1">
      <alignment horizontal="center"/>
    </xf>
    <xf numFmtId="0" fontId="5" fillId="0" borderId="55" xfId="0" applyFont="1" applyBorder="1" applyAlignment="1">
      <alignment horizontal="center"/>
    </xf>
    <xf numFmtId="43" fontId="5" fillId="0" borderId="56" xfId="1" applyFont="1" applyBorder="1"/>
    <xf numFmtId="0" fontId="14" fillId="0" borderId="0" xfId="0" applyFont="1" applyAlignment="1">
      <alignment horizontal="left"/>
    </xf>
    <xf numFmtId="43" fontId="7" fillId="0" borderId="56" xfId="1" applyFont="1" applyBorder="1"/>
    <xf numFmtId="0" fontId="124" fillId="0" borderId="0" xfId="0" applyFont="1"/>
    <xf numFmtId="0" fontId="5" fillId="0" borderId="84" xfId="0" applyFont="1" applyBorder="1"/>
    <xf numFmtId="2" fontId="5" fillId="0" borderId="103" xfId="1" applyNumberFormat="1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46" fillId="11" borderId="118" xfId="0" applyFont="1" applyFill="1" applyBorder="1" applyAlignment="1">
      <alignment vertical="center" wrapText="1"/>
    </xf>
    <xf numFmtId="0" fontId="46" fillId="11" borderId="118" xfId="0" applyFont="1" applyFill="1" applyBorder="1" applyAlignment="1">
      <alignment horizontal="center" vertical="center" wrapText="1"/>
    </xf>
    <xf numFmtId="0" fontId="46" fillId="11" borderId="118" xfId="0" applyFont="1" applyFill="1" applyBorder="1" applyAlignment="1">
      <alignment horizontal="right" vertical="center" wrapText="1"/>
    </xf>
    <xf numFmtId="0" fontId="46" fillId="20" borderId="118" xfId="0" applyFont="1" applyFill="1" applyBorder="1" applyAlignment="1">
      <alignment horizontal="center" vertical="center" wrapText="1"/>
    </xf>
    <xf numFmtId="0" fontId="46" fillId="20" borderId="118" xfId="0" applyFont="1" applyFill="1" applyBorder="1" applyAlignment="1">
      <alignment vertical="center" wrapText="1"/>
    </xf>
    <xf numFmtId="0" fontId="46" fillId="20" borderId="118" xfId="0" applyFont="1" applyFill="1" applyBorder="1" applyAlignment="1">
      <alignment horizontal="right" vertical="center" wrapText="1"/>
    </xf>
    <xf numFmtId="0" fontId="25" fillId="0" borderId="119" xfId="0" applyFont="1" applyBorder="1"/>
    <xf numFmtId="0" fontId="125" fillId="0" borderId="0" xfId="0" applyFont="1"/>
    <xf numFmtId="0" fontId="126" fillId="0" borderId="0" xfId="0" applyFont="1"/>
    <xf numFmtId="43" fontId="16" fillId="0" borderId="0" xfId="6" applyNumberFormat="1" applyFont="1"/>
    <xf numFmtId="0" fontId="120" fillId="0" borderId="0" xfId="6" applyFont="1"/>
    <xf numFmtId="0" fontId="127" fillId="0" borderId="0" xfId="9" applyFont="1"/>
    <xf numFmtId="2" fontId="127" fillId="0" borderId="0" xfId="9" applyNumberFormat="1" applyFont="1"/>
    <xf numFmtId="0" fontId="7" fillId="3" borderId="0" xfId="2" applyFont="1" applyFill="1" applyAlignment="1" applyProtection="1">
      <alignment horizontal="center"/>
      <protection hidden="1"/>
    </xf>
    <xf numFmtId="0" fontId="7" fillId="3" borderId="0" xfId="3" applyFont="1" applyFill="1" applyProtection="1">
      <protection hidden="1"/>
    </xf>
    <xf numFmtId="0" fontId="7" fillId="3" borderId="0" xfId="7" applyFont="1" applyFill="1" applyAlignment="1" applyProtection="1">
      <alignment horizontal="center"/>
      <protection hidden="1"/>
    </xf>
    <xf numFmtId="43" fontId="18" fillId="3" borderId="0" xfId="10" applyFont="1" applyFill="1" applyBorder="1" applyProtection="1">
      <protection locked="0" hidden="1"/>
    </xf>
    <xf numFmtId="43" fontId="18" fillId="3" borderId="0" xfId="10" applyFont="1" applyFill="1" applyBorder="1" applyAlignment="1" applyProtection="1">
      <alignment horizontal="center" wrapText="1"/>
      <protection hidden="1"/>
    </xf>
    <xf numFmtId="43" fontId="7" fillId="0" borderId="60" xfId="1" applyFont="1" applyFill="1" applyBorder="1" applyAlignment="1" applyProtection="1">
      <alignment horizontal="center"/>
      <protection hidden="1"/>
    </xf>
    <xf numFmtId="43" fontId="7" fillId="0" borderId="60" xfId="7" applyNumberFormat="1" applyFont="1" applyBorder="1" applyAlignment="1" applyProtection="1">
      <alignment horizontal="center"/>
      <protection hidden="1"/>
    </xf>
    <xf numFmtId="0" fontId="7" fillId="3" borderId="11" xfId="3" applyFont="1" applyFill="1" applyBorder="1" applyProtection="1">
      <protection hidden="1"/>
    </xf>
    <xf numFmtId="0" fontId="7" fillId="3" borderId="37" xfId="3" applyFont="1" applyFill="1" applyBorder="1" applyProtection="1">
      <protection hidden="1"/>
    </xf>
    <xf numFmtId="0" fontId="7" fillId="3" borderId="12" xfId="3" applyFont="1" applyFill="1" applyBorder="1" applyProtection="1">
      <protection hidden="1"/>
    </xf>
    <xf numFmtId="43" fontId="18" fillId="0" borderId="20" xfId="6" applyNumberFormat="1" applyFont="1" applyBorder="1"/>
    <xf numFmtId="43" fontId="18" fillId="0" borderId="26" xfId="1" applyFont="1" applyFill="1" applyBorder="1" applyAlignment="1" applyProtection="1">
      <alignment horizontal="center"/>
    </xf>
    <xf numFmtId="0" fontId="18" fillId="0" borderId="17" xfId="6" applyFont="1" applyBorder="1"/>
    <xf numFmtId="0" fontId="7" fillId="3" borderId="20" xfId="3" applyFont="1" applyFill="1" applyBorder="1" applyProtection="1">
      <protection hidden="1"/>
    </xf>
    <xf numFmtId="0" fontId="128" fillId="0" borderId="0" xfId="6" applyFont="1"/>
    <xf numFmtId="0" fontId="19" fillId="0" borderId="66" xfId="7" applyFont="1" applyBorder="1" applyAlignment="1" applyProtection="1">
      <alignment horizontal="center" vertical="center"/>
      <protection hidden="1"/>
    </xf>
    <xf numFmtId="4" fontId="13" fillId="0" borderId="57" xfId="0" applyNumberFormat="1" applyFont="1" applyBorder="1" applyAlignment="1">
      <alignment horizontal="center" vertical="center"/>
    </xf>
    <xf numFmtId="4" fontId="13" fillId="0" borderId="20" xfId="0" applyNumberFormat="1" applyFont="1" applyBorder="1" applyAlignment="1">
      <alignment horizontal="center" vertical="center"/>
    </xf>
    <xf numFmtId="4" fontId="13" fillId="0" borderId="35" xfId="0" applyNumberFormat="1" applyFont="1" applyBorder="1" applyAlignment="1">
      <alignment horizontal="center" vertical="center"/>
    </xf>
    <xf numFmtId="4" fontId="13" fillId="0" borderId="60" xfId="0" applyNumberFormat="1" applyFont="1" applyBorder="1" applyAlignment="1">
      <alignment horizontal="center" vertical="center"/>
    </xf>
    <xf numFmtId="49" fontId="7" fillId="0" borderId="49" xfId="6" applyNumberFormat="1" applyFont="1" applyBorder="1" applyAlignment="1" applyProtection="1">
      <alignment horizontal="center"/>
      <protection locked="0"/>
    </xf>
    <xf numFmtId="49" fontId="7" fillId="0" borderId="8" xfId="6" applyNumberFormat="1" applyFont="1" applyBorder="1" applyAlignment="1" applyProtection="1">
      <alignment horizontal="center"/>
      <protection locked="0"/>
    </xf>
    <xf numFmtId="43" fontId="18" fillId="3" borderId="0" xfId="10" applyFont="1" applyFill="1" applyBorder="1" applyAlignment="1" applyProtection="1">
      <alignment horizontal="center"/>
      <protection hidden="1"/>
    </xf>
    <xf numFmtId="43" fontId="7" fillId="3" borderId="0" xfId="10" applyFont="1" applyFill="1" applyBorder="1" applyAlignment="1" applyProtection="1">
      <alignment vertical="center"/>
      <protection hidden="1"/>
    </xf>
    <xf numFmtId="43" fontId="7" fillId="3" borderId="0" xfId="10" applyFont="1" applyFill="1" applyBorder="1" applyAlignment="1" applyProtection="1">
      <alignment horizontal="center"/>
      <protection hidden="1"/>
    </xf>
    <xf numFmtId="49" fontId="7" fillId="0" borderId="0" xfId="6" applyNumberFormat="1" applyFont="1" applyAlignment="1" applyProtection="1">
      <alignment horizontal="center"/>
      <protection locked="0"/>
    </xf>
    <xf numFmtId="43" fontId="7" fillId="0" borderId="60" xfId="1" applyFont="1" applyFill="1" applyBorder="1" applyAlignment="1" applyProtection="1">
      <alignment horizontal="center"/>
      <protection locked="0"/>
    </xf>
    <xf numFmtId="43" fontId="7" fillId="0" borderId="27" xfId="1" applyFont="1" applyFill="1" applyBorder="1" applyAlignment="1" applyProtection="1">
      <alignment horizontal="center"/>
    </xf>
    <xf numFmtId="43" fontId="7" fillId="0" borderId="26" xfId="1" applyFont="1" applyFill="1" applyBorder="1" applyAlignment="1" applyProtection="1">
      <alignment horizontal="center"/>
    </xf>
    <xf numFmtId="43" fontId="18" fillId="0" borderId="27" xfId="1" applyFont="1" applyFill="1" applyBorder="1" applyAlignment="1" applyProtection="1">
      <alignment horizontal="center"/>
    </xf>
    <xf numFmtId="0" fontId="7" fillId="0" borderId="0" xfId="7" applyFont="1" applyAlignment="1" applyProtection="1">
      <alignment horizontal="left"/>
      <protection hidden="1"/>
    </xf>
    <xf numFmtId="0" fontId="18" fillId="0" borderId="0" xfId="6" applyFont="1"/>
    <xf numFmtId="0" fontId="15" fillId="0" borderId="0" xfId="6" applyFont="1" applyAlignment="1">
      <alignment horizontal="right"/>
    </xf>
    <xf numFmtId="49" fontId="16" fillId="0" borderId="0" xfId="6" applyNumberFormat="1" applyFont="1" applyAlignment="1" applyProtection="1">
      <alignment horizontal="left"/>
      <protection locked="0"/>
    </xf>
    <xf numFmtId="49" fontId="18" fillId="0" borderId="9" xfId="6" applyNumberFormat="1" applyFont="1" applyBorder="1" applyAlignment="1" applyProtection="1">
      <alignment horizontal="center"/>
      <protection locked="0"/>
    </xf>
    <xf numFmtId="2" fontId="7" fillId="0" borderId="20" xfId="6" applyNumberFormat="1" applyFont="1" applyBorder="1" applyAlignment="1" applyProtection="1">
      <alignment horizontal="center"/>
      <protection locked="0"/>
    </xf>
    <xf numFmtId="2" fontId="7" fillId="0" borderId="24" xfId="6" applyNumberFormat="1" applyFont="1" applyBorder="1" applyAlignment="1" applyProtection="1">
      <alignment horizontal="center"/>
      <protection locked="0"/>
    </xf>
    <xf numFmtId="2" fontId="7" fillId="0" borderId="9" xfId="6" applyNumberFormat="1" applyFont="1" applyBorder="1" applyAlignment="1" applyProtection="1">
      <alignment horizontal="center"/>
      <protection locked="0"/>
    </xf>
    <xf numFmtId="2" fontId="19" fillId="0" borderId="0" xfId="6" applyNumberFormat="1" applyFont="1" applyAlignment="1" applyProtection="1">
      <alignment horizontal="center"/>
      <protection locked="0"/>
    </xf>
    <xf numFmtId="0" fontId="19" fillId="3" borderId="0" xfId="6" applyFont="1" applyFill="1" applyAlignment="1" applyProtection="1">
      <alignment horizontal="left"/>
      <protection locked="0"/>
    </xf>
    <xf numFmtId="2" fontId="7" fillId="0" borderId="12" xfId="6" applyNumberFormat="1" applyFont="1" applyBorder="1" applyAlignment="1">
      <alignment horizontal="center"/>
    </xf>
    <xf numFmtId="2" fontId="7" fillId="0" borderId="27" xfId="6" applyNumberFormat="1" applyFont="1" applyBorder="1" applyAlignment="1">
      <alignment horizontal="center"/>
    </xf>
    <xf numFmtId="2" fontId="7" fillId="0" borderId="24" xfId="6" applyNumberFormat="1" applyFont="1" applyBorder="1" applyAlignment="1">
      <alignment horizontal="center"/>
    </xf>
    <xf numFmtId="2" fontId="19" fillId="0" borderId="12" xfId="6" applyNumberFormat="1" applyFont="1" applyBorder="1" applyAlignment="1">
      <alignment horizontal="center"/>
    </xf>
    <xf numFmtId="2" fontId="19" fillId="0" borderId="27" xfId="6" applyNumberFormat="1" applyFont="1" applyBorder="1" applyAlignment="1">
      <alignment horizontal="center"/>
    </xf>
    <xf numFmtId="2" fontId="19" fillId="0" borderId="17" xfId="6" applyNumberFormat="1" applyFont="1" applyBorder="1"/>
    <xf numFmtId="0" fontId="19" fillId="0" borderId="27" xfId="6" applyFont="1" applyBorder="1" applyAlignment="1">
      <alignment horizontal="center"/>
    </xf>
    <xf numFmtId="0" fontId="19" fillId="0" borderId="24" xfId="6" applyFont="1" applyBorder="1" applyAlignment="1">
      <alignment horizontal="center"/>
    </xf>
    <xf numFmtId="0" fontId="120" fillId="0" borderId="0" xfId="3" applyFont="1" applyAlignment="1">
      <alignment vertical="center"/>
    </xf>
    <xf numFmtId="0" fontId="120" fillId="0" borderId="0" xfId="3" applyFont="1" applyAlignment="1">
      <alignment horizontal="left" vertical="center"/>
    </xf>
    <xf numFmtId="0" fontId="16" fillId="0" borderId="0" xfId="3" applyFont="1"/>
    <xf numFmtId="0" fontId="16" fillId="0" borderId="0" xfId="7" applyFont="1" applyAlignment="1" applyProtection="1">
      <alignment horizontal="left"/>
      <protection hidden="1"/>
    </xf>
    <xf numFmtId="0" fontId="129" fillId="0" borderId="0" xfId="3" applyFont="1" applyProtection="1">
      <protection hidden="1"/>
    </xf>
    <xf numFmtId="0" fontId="130" fillId="0" borderId="0" xfId="7" applyFont="1" applyAlignment="1" applyProtection="1">
      <alignment horizontal="center" vertical="center"/>
      <protection hidden="1"/>
    </xf>
    <xf numFmtId="4" fontId="16" fillId="0" borderId="0" xfId="5" applyFont="1" applyAlignment="1">
      <alignment horizontal="center"/>
    </xf>
    <xf numFmtId="0" fontId="120" fillId="0" borderId="0" xfId="3" applyFont="1"/>
    <xf numFmtId="0" fontId="16" fillId="0" borderId="0" xfId="3" applyFont="1" applyAlignment="1">
      <alignment horizontal="left"/>
    </xf>
    <xf numFmtId="0" fontId="130" fillId="0" borderId="0" xfId="2" applyFont="1" applyAlignment="1" applyProtection="1">
      <alignment horizontal="center"/>
      <protection hidden="1"/>
    </xf>
    <xf numFmtId="164" fontId="16" fillId="0" borderId="0" xfId="3" applyNumberFormat="1" applyFont="1" applyAlignment="1">
      <alignment horizontal="left"/>
    </xf>
    <xf numFmtId="4" fontId="16" fillId="0" borderId="0" xfId="5" applyFont="1" applyAlignment="1">
      <alignment horizontal="left"/>
    </xf>
    <xf numFmtId="0" fontId="116" fillId="0" borderId="0" xfId="6" applyFont="1" applyAlignment="1" applyProtection="1">
      <alignment horizontal="center"/>
      <protection hidden="1"/>
    </xf>
    <xf numFmtId="4" fontId="16" fillId="0" borderId="0" xfId="5" applyFont="1"/>
    <xf numFmtId="0" fontId="7" fillId="6" borderId="109" xfId="7" applyFont="1" applyFill="1" applyBorder="1" applyAlignment="1" applyProtection="1">
      <alignment horizontal="center"/>
      <protection hidden="1"/>
    </xf>
    <xf numFmtId="0" fontId="7" fillId="6" borderId="60" xfId="7" applyFont="1" applyFill="1" applyBorder="1" applyAlignment="1" applyProtection="1">
      <alignment horizontal="center"/>
      <protection hidden="1"/>
    </xf>
    <xf numFmtId="0" fontId="20" fillId="22" borderId="49" xfId="2" applyFont="1" applyFill="1" applyBorder="1" applyProtection="1">
      <protection hidden="1"/>
    </xf>
    <xf numFmtId="0" fontId="20" fillId="22" borderId="49" xfId="6" applyFont="1" applyFill="1" applyBorder="1" applyAlignment="1" applyProtection="1">
      <alignment horizontal="center"/>
      <protection hidden="1"/>
    </xf>
    <xf numFmtId="43" fontId="20" fillId="0" borderId="49" xfId="8" applyFont="1" applyFill="1" applyBorder="1" applyProtection="1">
      <protection locked="0" hidden="1"/>
    </xf>
    <xf numFmtId="43" fontId="18" fillId="0" borderId="49" xfId="8" applyFont="1" applyFill="1" applyBorder="1" applyProtection="1">
      <protection locked="0" hidden="1"/>
    </xf>
    <xf numFmtId="43" fontId="20" fillId="0" borderId="56" xfId="8" applyFont="1" applyFill="1" applyBorder="1" applyProtection="1">
      <protection locked="0" hidden="1"/>
    </xf>
    <xf numFmtId="0" fontId="18" fillId="22" borderId="49" xfId="2" applyFont="1" applyFill="1" applyBorder="1" applyProtection="1">
      <protection hidden="1"/>
    </xf>
    <xf numFmtId="0" fontId="18" fillId="22" borderId="49" xfId="6" applyFont="1" applyFill="1" applyBorder="1" applyAlignment="1" applyProtection="1">
      <alignment horizontal="center"/>
      <protection hidden="1"/>
    </xf>
    <xf numFmtId="0" fontId="20" fillId="22" borderId="49" xfId="6" applyFont="1" applyFill="1" applyBorder="1" applyProtection="1">
      <protection hidden="1"/>
    </xf>
    <xf numFmtId="0" fontId="20" fillId="22" borderId="49" xfId="7" applyFont="1" applyFill="1" applyBorder="1" applyAlignment="1" applyProtection="1">
      <alignment horizontal="center"/>
      <protection hidden="1"/>
    </xf>
    <xf numFmtId="0" fontId="20" fillId="22" borderId="49" xfId="3" applyFont="1" applyFill="1" applyBorder="1" applyProtection="1">
      <protection hidden="1"/>
    </xf>
    <xf numFmtId="43" fontId="132" fillId="4" borderId="124" xfId="8" applyFont="1" applyFill="1" applyBorder="1" applyProtection="1">
      <protection hidden="1"/>
    </xf>
    <xf numFmtId="43" fontId="132" fillId="4" borderId="125" xfId="8" applyFont="1" applyFill="1" applyBorder="1" applyProtection="1">
      <protection hidden="1"/>
    </xf>
    <xf numFmtId="43" fontId="132" fillId="4" borderId="126" xfId="8" applyFont="1" applyFill="1" applyBorder="1" applyProtection="1">
      <protection hidden="1"/>
    </xf>
    <xf numFmtId="43" fontId="132" fillId="4" borderId="127" xfId="8" applyFont="1" applyFill="1" applyBorder="1" applyProtection="1">
      <protection hidden="1"/>
    </xf>
    <xf numFmtId="0" fontId="5" fillId="4" borderId="126" xfId="7" applyFont="1" applyFill="1" applyBorder="1" applyProtection="1">
      <protection hidden="1"/>
    </xf>
    <xf numFmtId="0" fontId="5" fillId="4" borderId="127" xfId="7" applyFont="1" applyFill="1" applyBorder="1" applyProtection="1">
      <protection hidden="1"/>
    </xf>
    <xf numFmtId="0" fontId="131" fillId="4" borderId="122" xfId="6" applyFont="1" applyFill="1" applyBorder="1" applyProtection="1">
      <protection hidden="1"/>
    </xf>
    <xf numFmtId="0" fontId="131" fillId="4" borderId="123" xfId="6" applyFont="1" applyFill="1" applyBorder="1" applyProtection="1">
      <protection hidden="1"/>
    </xf>
    <xf numFmtId="0" fontId="5" fillId="4" borderId="123" xfId="6" applyFont="1" applyFill="1" applyBorder="1" applyProtection="1">
      <protection hidden="1"/>
    </xf>
    <xf numFmtId="43" fontId="133" fillId="23" borderId="49" xfId="8" applyFont="1" applyFill="1" applyBorder="1" applyProtection="1">
      <protection hidden="1"/>
    </xf>
    <xf numFmtId="43" fontId="86" fillId="4" borderId="125" xfId="8" applyFont="1" applyFill="1" applyBorder="1" applyProtection="1">
      <protection hidden="1"/>
    </xf>
    <xf numFmtId="0" fontId="5" fillId="4" borderId="125" xfId="7" applyFont="1" applyFill="1" applyBorder="1" applyProtection="1">
      <protection hidden="1"/>
    </xf>
    <xf numFmtId="0" fontId="5" fillId="4" borderId="130" xfId="7" applyFont="1" applyFill="1" applyBorder="1" applyAlignment="1" applyProtection="1">
      <alignment horizontal="center"/>
      <protection hidden="1"/>
    </xf>
    <xf numFmtId="43" fontId="86" fillId="4" borderId="127" xfId="8" applyFont="1" applyFill="1" applyBorder="1" applyProtection="1">
      <protection hidden="1"/>
    </xf>
    <xf numFmtId="0" fontId="5" fillId="4" borderId="131" xfId="7" applyFont="1" applyFill="1" applyBorder="1" applyAlignment="1" applyProtection="1">
      <alignment horizontal="center"/>
      <protection hidden="1"/>
    </xf>
    <xf numFmtId="0" fontId="5" fillId="4" borderId="131" xfId="7" applyFont="1" applyFill="1" applyBorder="1" applyProtection="1">
      <protection hidden="1"/>
    </xf>
    <xf numFmtId="43" fontId="86" fillId="4" borderId="123" xfId="8" applyFont="1" applyFill="1" applyBorder="1" applyProtection="1">
      <protection hidden="1"/>
    </xf>
    <xf numFmtId="0" fontId="5" fillId="4" borderId="129" xfId="6" applyFont="1" applyFill="1" applyBorder="1" applyProtection="1">
      <protection hidden="1"/>
    </xf>
    <xf numFmtId="0" fontId="5" fillId="0" borderId="109" xfId="6" applyFont="1" applyBorder="1"/>
    <xf numFmtId="0" fontId="5" fillId="0" borderId="49" xfId="6" applyFont="1" applyBorder="1" applyAlignment="1">
      <alignment horizontal="center"/>
    </xf>
    <xf numFmtId="43" fontId="135" fillId="0" borderId="49" xfId="8" applyFont="1" applyBorder="1"/>
    <xf numFmtId="43" fontId="5" fillId="0" borderId="49" xfId="8" applyFont="1" applyBorder="1"/>
    <xf numFmtId="43" fontId="5" fillId="0" borderId="112" xfId="6" applyNumberFormat="1" applyFont="1" applyBorder="1"/>
    <xf numFmtId="43" fontId="5" fillId="0" borderId="112" xfId="8" applyFont="1" applyBorder="1"/>
    <xf numFmtId="43" fontId="5" fillId="0" borderId="54" xfId="6" applyNumberFormat="1" applyFont="1" applyBorder="1"/>
    <xf numFmtId="43" fontId="5" fillId="0" borderId="54" xfId="8" applyFont="1" applyBorder="1"/>
    <xf numFmtId="0" fontId="5" fillId="7" borderId="109" xfId="6" applyFont="1" applyFill="1" applyBorder="1" applyAlignment="1">
      <alignment horizontal="center"/>
    </xf>
    <xf numFmtId="0" fontId="5" fillId="0" borderId="109" xfId="6" applyFont="1" applyBorder="1" applyAlignment="1">
      <alignment horizontal="center"/>
    </xf>
    <xf numFmtId="0" fontId="5" fillId="7" borderId="56" xfId="6" applyFont="1" applyFill="1" applyBorder="1"/>
    <xf numFmtId="0" fontId="5" fillId="0" borderId="56" xfId="6" applyFont="1" applyBorder="1"/>
    <xf numFmtId="0" fontId="5" fillId="0" borderId="56" xfId="6" applyFont="1" applyBorder="1" applyAlignment="1">
      <alignment horizontal="center"/>
    </xf>
    <xf numFmtId="0" fontId="5" fillId="7" borderId="56" xfId="6" applyFont="1" applyFill="1" applyBorder="1" applyAlignment="1">
      <alignment horizontal="center"/>
    </xf>
    <xf numFmtId="165" fontId="5" fillId="0" borderId="49" xfId="8" applyNumberFormat="1" applyFont="1" applyBorder="1"/>
    <xf numFmtId="165" fontId="5" fillId="0" borderId="112" xfId="8" applyNumberFormat="1" applyFont="1" applyBorder="1"/>
    <xf numFmtId="166" fontId="5" fillId="0" borderId="112" xfId="6" applyNumberFormat="1" applyFont="1" applyBorder="1"/>
    <xf numFmtId="165" fontId="5" fillId="0" borderId="54" xfId="8" applyNumberFormat="1" applyFont="1" applyBorder="1"/>
    <xf numFmtId="166" fontId="5" fillId="0" borderId="54" xfId="6" applyNumberFormat="1" applyFont="1" applyBorder="1"/>
    <xf numFmtId="0" fontId="5" fillId="0" borderId="51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3" fontId="5" fillId="0" borderId="4" xfId="1" applyFont="1" applyFill="1" applyBorder="1" applyAlignment="1">
      <alignment horizontal="center" vertical="center"/>
    </xf>
    <xf numFmtId="43" fontId="5" fillId="0" borderId="9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145" fillId="0" borderId="0" xfId="0" applyFont="1"/>
    <xf numFmtId="0" fontId="147" fillId="0" borderId="4" xfId="12" applyFont="1" applyBorder="1" applyAlignment="1">
      <alignment horizontal="center"/>
    </xf>
    <xf numFmtId="0" fontId="147" fillId="0" borderId="3" xfId="12" applyFont="1" applyBorder="1" applyAlignment="1">
      <alignment horizontal="center"/>
    </xf>
    <xf numFmtId="0" fontId="147" fillId="0" borderId="56" xfId="12" applyFont="1" applyBorder="1" applyAlignment="1">
      <alignment horizontal="center"/>
    </xf>
    <xf numFmtId="0" fontId="147" fillId="0" borderId="83" xfId="12" applyFont="1" applyBorder="1" applyAlignment="1">
      <alignment horizontal="center"/>
    </xf>
    <xf numFmtId="0" fontId="147" fillId="0" borderId="84" xfId="12" applyFont="1" applyBorder="1"/>
    <xf numFmtId="0" fontId="148" fillId="0" borderId="85" xfId="12" applyFont="1" applyBorder="1"/>
    <xf numFmtId="0" fontId="148" fillId="0" borderId="17" xfId="12" applyFont="1" applyBorder="1"/>
    <xf numFmtId="0" fontId="149" fillId="0" borderId="17" xfId="12" applyFont="1" applyBorder="1"/>
    <xf numFmtId="0" fontId="148" fillId="0" borderId="16" xfId="12" applyFont="1" applyBorder="1" applyAlignment="1">
      <alignment horizontal="center"/>
    </xf>
    <xf numFmtId="0" fontId="148" fillId="0" borderId="47" xfId="12" applyFont="1" applyBorder="1"/>
    <xf numFmtId="0" fontId="147" fillId="0" borderId="25" xfId="12" applyFont="1" applyBorder="1" applyAlignment="1">
      <alignment horizontal="center"/>
    </xf>
    <xf numFmtId="0" fontId="147" fillId="0" borderId="29" xfId="12" applyFont="1" applyBorder="1"/>
    <xf numFmtId="0" fontId="148" fillId="0" borderId="0" xfId="12" applyFont="1"/>
    <xf numFmtId="43" fontId="148" fillId="0" borderId="18" xfId="13" applyFont="1" applyBorder="1"/>
    <xf numFmtId="0" fontId="148" fillId="0" borderId="18" xfId="12" applyFont="1" applyBorder="1" applyAlignment="1">
      <alignment horizontal="center"/>
    </xf>
    <xf numFmtId="43" fontId="149" fillId="0" borderId="18" xfId="12" applyNumberFormat="1" applyFont="1" applyBorder="1"/>
    <xf numFmtId="43" fontId="148" fillId="0" borderId="32" xfId="13" applyFont="1" applyBorder="1" applyAlignment="1"/>
    <xf numFmtId="0" fontId="148" fillId="0" borderId="47" xfId="12" applyFont="1" applyBorder="1" applyAlignment="1">
      <alignment horizontal="center"/>
    </xf>
    <xf numFmtId="0" fontId="148" fillId="0" borderId="14" xfId="12" applyFont="1" applyBorder="1"/>
    <xf numFmtId="0" fontId="150" fillId="0" borderId="39" xfId="0" applyFont="1" applyBorder="1"/>
    <xf numFmtId="2" fontId="150" fillId="0" borderId="17" xfId="0" applyNumberFormat="1" applyFont="1" applyBorder="1"/>
    <xf numFmtId="0" fontId="150" fillId="0" borderId="17" xfId="0" applyFont="1" applyBorder="1" applyAlignment="1">
      <alignment horizontal="center"/>
    </xf>
    <xf numFmtId="2" fontId="151" fillId="0" borderId="39" xfId="0" applyNumberFormat="1" applyFont="1" applyBorder="1"/>
    <xf numFmtId="43" fontId="151" fillId="0" borderId="17" xfId="13" applyFont="1" applyBorder="1" applyAlignment="1"/>
    <xf numFmtId="167" fontId="150" fillId="0" borderId="31" xfId="1" applyNumberFormat="1" applyFont="1" applyBorder="1" applyAlignment="1">
      <alignment horizontal="center" vertical="center"/>
    </xf>
    <xf numFmtId="0" fontId="152" fillId="0" borderId="0" xfId="0" applyFont="1"/>
    <xf numFmtId="170" fontId="151" fillId="0" borderId="17" xfId="13" applyNumberFormat="1" applyFont="1" applyBorder="1" applyAlignment="1"/>
    <xf numFmtId="164" fontId="150" fillId="0" borderId="17" xfId="0" applyNumberFormat="1" applyFont="1" applyBorder="1"/>
    <xf numFmtId="164" fontId="151" fillId="0" borderId="39" xfId="0" applyNumberFormat="1" applyFont="1" applyBorder="1"/>
    <xf numFmtId="0" fontId="151" fillId="0" borderId="31" xfId="0" applyFont="1" applyBorder="1" applyAlignment="1">
      <alignment horizontal="center" vertical="center"/>
    </xf>
    <xf numFmtId="0" fontId="148" fillId="0" borderId="34" xfId="12" applyFont="1" applyBorder="1"/>
    <xf numFmtId="0" fontId="151" fillId="0" borderId="17" xfId="0" applyFont="1" applyBorder="1"/>
    <xf numFmtId="0" fontId="153" fillId="0" borderId="39" xfId="0" applyFont="1" applyBorder="1"/>
    <xf numFmtId="43" fontId="151" fillId="0" borderId="18" xfId="0" applyNumberFormat="1" applyFont="1" applyBorder="1"/>
    <xf numFmtId="0" fontId="151" fillId="0" borderId="31" xfId="0" applyFont="1" applyBorder="1"/>
    <xf numFmtId="0" fontId="151" fillId="0" borderId="16" xfId="12" applyFont="1" applyBorder="1"/>
    <xf numFmtId="43" fontId="151" fillId="0" borderId="18" xfId="13" applyFont="1" applyBorder="1"/>
    <xf numFmtId="0" fontId="151" fillId="0" borderId="18" xfId="12" applyFont="1" applyBorder="1" applyAlignment="1">
      <alignment horizontal="center"/>
    </xf>
    <xf numFmtId="0" fontId="153" fillId="0" borderId="63" xfId="12" applyFont="1" applyBorder="1" applyAlignment="1">
      <alignment horizontal="center"/>
    </xf>
    <xf numFmtId="43" fontId="154" fillId="2" borderId="19" xfId="13" applyFont="1" applyFill="1" applyBorder="1" applyAlignment="1"/>
    <xf numFmtId="0" fontId="155" fillId="0" borderId="82" xfId="12" applyFont="1" applyBorder="1"/>
    <xf numFmtId="43" fontId="155" fillId="0" borderId="19" xfId="13" applyFont="1" applyBorder="1" applyAlignment="1"/>
    <xf numFmtId="167" fontId="150" fillId="0" borderId="31" xfId="11" applyNumberFormat="1" applyFont="1" applyBorder="1"/>
    <xf numFmtId="167" fontId="150" fillId="0" borderId="31" xfId="1" applyNumberFormat="1" applyFont="1" applyBorder="1" applyAlignment="1">
      <alignment horizontal="center"/>
    </xf>
    <xf numFmtId="171" fontId="151" fillId="0" borderId="17" xfId="13" applyNumberFormat="1" applyFont="1" applyBorder="1" applyAlignment="1"/>
    <xf numFmtId="165" fontId="151" fillId="0" borderId="17" xfId="13" applyNumberFormat="1" applyFont="1" applyBorder="1" applyAlignment="1"/>
    <xf numFmtId="0" fontId="151" fillId="0" borderId="31" xfId="0" applyFont="1" applyBorder="1" applyAlignment="1">
      <alignment horizontal="center"/>
    </xf>
    <xf numFmtId="172" fontId="151" fillId="0" borderId="17" xfId="13" applyNumberFormat="1" applyFont="1" applyBorder="1" applyAlignment="1"/>
    <xf numFmtId="169" fontId="151" fillId="0" borderId="17" xfId="13" applyNumberFormat="1" applyFont="1" applyBorder="1" applyAlignment="1"/>
    <xf numFmtId="0" fontId="145" fillId="0" borderId="21" xfId="0" applyFont="1" applyBorder="1"/>
    <xf numFmtId="0" fontId="145" fillId="0" borderId="24" xfId="0" applyFont="1" applyBorder="1"/>
    <xf numFmtId="0" fontId="145" fillId="0" borderId="9" xfId="0" applyFont="1" applyBorder="1"/>
    <xf numFmtId="0" fontId="145" fillId="0" borderId="36" xfId="0" applyFont="1" applyBorder="1"/>
    <xf numFmtId="0" fontId="156" fillId="0" borderId="4" xfId="12" applyFont="1" applyBorder="1" applyAlignment="1">
      <alignment horizontal="center"/>
    </xf>
    <xf numFmtId="0" fontId="156" fillId="0" borderId="56" xfId="12" applyFont="1" applyBorder="1" applyAlignment="1">
      <alignment horizontal="center"/>
    </xf>
    <xf numFmtId="43" fontId="148" fillId="0" borderId="29" xfId="13" applyFont="1" applyBorder="1" applyAlignment="1"/>
    <xf numFmtId="2" fontId="153" fillId="0" borderId="39" xfId="0" applyNumberFormat="1" applyFont="1" applyBorder="1"/>
    <xf numFmtId="2" fontId="152" fillId="0" borderId="0" xfId="0" applyNumberFormat="1" applyFont="1"/>
    <xf numFmtId="164" fontId="153" fillId="0" borderId="39" xfId="0" applyNumberFormat="1" applyFont="1" applyBorder="1"/>
    <xf numFmtId="164" fontId="151" fillId="0" borderId="17" xfId="13" applyNumberFormat="1" applyFont="1" applyBorder="1" applyAlignment="1"/>
    <xf numFmtId="0" fontId="147" fillId="0" borderId="32" xfId="12" applyFont="1" applyBorder="1"/>
    <xf numFmtId="0" fontId="151" fillId="0" borderId="29" xfId="12" applyFont="1" applyBorder="1"/>
    <xf numFmtId="0" fontId="157" fillId="11" borderId="90" xfId="0" applyFont="1" applyFill="1" applyBorder="1" applyAlignment="1">
      <alignment horizontal="right" wrapText="1"/>
    </xf>
    <xf numFmtId="0" fontId="158" fillId="0" borderId="0" xfId="0" applyFont="1" applyAlignment="1">
      <alignment vertical="center"/>
    </xf>
    <xf numFmtId="43" fontId="159" fillId="0" borderId="0" xfId="1" applyFont="1" applyAlignment="1">
      <alignment vertical="center"/>
    </xf>
    <xf numFmtId="43" fontId="158" fillId="0" borderId="0" xfId="1" applyFont="1" applyAlignment="1">
      <alignment vertical="center"/>
    </xf>
    <xf numFmtId="43" fontId="160" fillId="0" borderId="4" xfId="1" applyFont="1" applyBorder="1" applyAlignment="1">
      <alignment horizontal="center" vertical="center"/>
    </xf>
    <xf numFmtId="43" fontId="160" fillId="0" borderId="5" xfId="1" applyFont="1" applyBorder="1" applyAlignment="1">
      <alignment horizontal="center" vertical="center"/>
    </xf>
    <xf numFmtId="43" fontId="160" fillId="0" borderId="43" xfId="1" applyFont="1" applyBorder="1" applyAlignment="1">
      <alignment horizontal="center" vertical="center"/>
    </xf>
    <xf numFmtId="0" fontId="160" fillId="0" borderId="9" xfId="0" applyFont="1" applyBorder="1" applyAlignment="1">
      <alignment horizontal="center" vertical="center"/>
    </xf>
    <xf numFmtId="0" fontId="160" fillId="0" borderId="44" xfId="0" applyFont="1" applyBorder="1" applyAlignment="1">
      <alignment horizontal="center" vertical="center"/>
    </xf>
    <xf numFmtId="0" fontId="160" fillId="0" borderId="10" xfId="0" applyFont="1" applyBorder="1" applyAlignment="1">
      <alignment horizontal="center" vertical="center"/>
    </xf>
    <xf numFmtId="0" fontId="160" fillId="0" borderId="11" xfId="0" applyFont="1" applyBorder="1" applyAlignment="1">
      <alignment vertical="center"/>
    </xf>
    <xf numFmtId="43" fontId="158" fillId="0" borderId="12" xfId="1" applyFont="1" applyBorder="1" applyAlignment="1">
      <alignment vertical="center"/>
    </xf>
    <xf numFmtId="43" fontId="158" fillId="0" borderId="13" xfId="1" applyFont="1" applyBorder="1" applyAlignment="1">
      <alignment horizontal="center" vertical="center"/>
    </xf>
    <xf numFmtId="43" fontId="158" fillId="0" borderId="13" xfId="1" applyFont="1" applyBorder="1" applyAlignment="1">
      <alignment vertical="center"/>
    </xf>
    <xf numFmtId="0" fontId="158" fillId="0" borderId="45" xfId="0" applyFont="1" applyBorder="1" applyAlignment="1">
      <alignment vertical="center"/>
    </xf>
    <xf numFmtId="43" fontId="158" fillId="0" borderId="0" xfId="0" applyNumberFormat="1" applyFont="1" applyAlignment="1">
      <alignment vertical="center"/>
    </xf>
    <xf numFmtId="0" fontId="160" fillId="0" borderId="14" xfId="0" applyFont="1" applyBorder="1" applyAlignment="1">
      <alignment horizontal="center" vertical="center"/>
    </xf>
    <xf numFmtId="0" fontId="160" fillId="0" borderId="15" xfId="0" applyFont="1" applyBorder="1" applyAlignment="1">
      <alignment vertical="center"/>
    </xf>
    <xf numFmtId="0" fontId="160" fillId="0" borderId="16" xfId="0" applyFont="1" applyBorder="1" applyAlignment="1">
      <alignment vertical="center"/>
    </xf>
    <xf numFmtId="43" fontId="158" fillId="0" borderId="17" xfId="1" applyFont="1" applyBorder="1" applyAlignment="1">
      <alignment horizontal="center" vertical="center"/>
    </xf>
    <xf numFmtId="43" fontId="158" fillId="0" borderId="17" xfId="1" applyFont="1" applyBorder="1" applyAlignment="1">
      <alignment vertical="center"/>
    </xf>
    <xf numFmtId="0" fontId="158" fillId="0" borderId="31" xfId="0" applyFont="1" applyBorder="1" applyAlignment="1">
      <alignment vertical="center"/>
    </xf>
    <xf numFmtId="43" fontId="160" fillId="0" borderId="16" xfId="1" applyFont="1" applyBorder="1" applyAlignment="1">
      <alignment vertical="center"/>
    </xf>
    <xf numFmtId="43" fontId="160" fillId="0" borderId="15" xfId="1" applyFont="1" applyBorder="1" applyAlignment="1">
      <alignment vertical="center"/>
    </xf>
    <xf numFmtId="0" fontId="158" fillId="0" borderId="16" xfId="0" applyFont="1" applyBorder="1" applyAlignment="1">
      <alignment vertical="center"/>
    </xf>
    <xf numFmtId="0" fontId="158" fillId="0" borderId="14" xfId="0" applyFont="1" applyBorder="1" applyAlignment="1">
      <alignment horizontal="center" vertical="center"/>
    </xf>
    <xf numFmtId="0" fontId="158" fillId="0" borderId="15" xfId="0" applyFont="1" applyBorder="1" applyAlignment="1">
      <alignment vertical="center"/>
    </xf>
    <xf numFmtId="43" fontId="158" fillId="0" borderId="31" xfId="0" applyNumberFormat="1" applyFont="1" applyBorder="1" applyAlignment="1">
      <alignment vertical="center"/>
    </xf>
    <xf numFmtId="43" fontId="158" fillId="0" borderId="18" xfId="1" applyFont="1" applyBorder="1" applyAlignment="1">
      <alignment vertical="center"/>
    </xf>
    <xf numFmtId="43" fontId="158" fillId="0" borderId="16" xfId="1" applyFont="1" applyBorder="1" applyAlignment="1">
      <alignment vertical="center"/>
    </xf>
    <xf numFmtId="43" fontId="160" fillId="0" borderId="15" xfId="1" applyFont="1" applyBorder="1" applyAlignment="1">
      <alignment horizontal="right" vertical="center"/>
    </xf>
    <xf numFmtId="43" fontId="160" fillId="0" borderId="19" xfId="1" applyFont="1" applyBorder="1" applyAlignment="1">
      <alignment vertical="center"/>
    </xf>
    <xf numFmtId="0" fontId="158" fillId="0" borderId="17" xfId="0" applyFont="1" applyBorder="1" applyAlignment="1">
      <alignment vertical="center"/>
    </xf>
    <xf numFmtId="43" fontId="158" fillId="0" borderId="31" xfId="1" applyFont="1" applyBorder="1" applyAlignment="1">
      <alignment vertical="center"/>
    </xf>
    <xf numFmtId="0" fontId="158" fillId="0" borderId="20" xfId="0" applyFont="1" applyBorder="1" applyAlignment="1">
      <alignment vertical="center"/>
    </xf>
    <xf numFmtId="0" fontId="158" fillId="0" borderId="14" xfId="0" applyFont="1" applyBorder="1" applyAlignment="1">
      <alignment horizontal="center"/>
    </xf>
    <xf numFmtId="43" fontId="161" fillId="0" borderId="31" xfId="1" applyFont="1" applyBorder="1" applyAlignment="1">
      <alignment vertical="center"/>
    </xf>
    <xf numFmtId="0" fontId="162" fillId="0" borderId="0" xfId="0" applyFont="1"/>
    <xf numFmtId="0" fontId="162" fillId="0" borderId="14" xfId="0" applyFont="1" applyBorder="1"/>
    <xf numFmtId="0" fontId="162" fillId="0" borderId="21" xfId="0" applyFont="1" applyBorder="1"/>
    <xf numFmtId="0" fontId="158" fillId="0" borderId="22" xfId="0" applyFont="1" applyBorder="1" applyAlignment="1">
      <alignment vertical="center"/>
    </xf>
    <xf numFmtId="0" fontId="158" fillId="0" borderId="23" xfId="0" applyFont="1" applyBorder="1" applyAlignment="1">
      <alignment vertical="center"/>
    </xf>
    <xf numFmtId="43" fontId="160" fillId="0" borderId="24" xfId="1" applyFont="1" applyBorder="1" applyAlignment="1">
      <alignment horizontal="right" vertical="center"/>
    </xf>
    <xf numFmtId="43" fontId="160" fillId="0" borderId="9" xfId="1" applyFont="1" applyBorder="1" applyAlignment="1">
      <alignment vertical="center"/>
    </xf>
    <xf numFmtId="43" fontId="160" fillId="0" borderId="24" xfId="1" applyFont="1" applyBorder="1" applyAlignment="1">
      <alignment vertical="center"/>
    </xf>
    <xf numFmtId="43" fontId="158" fillId="0" borderId="24" xfId="1" applyFont="1" applyBorder="1" applyAlignment="1">
      <alignment vertical="center"/>
    </xf>
    <xf numFmtId="43" fontId="158" fillId="0" borderId="36" xfId="1" applyFont="1" applyBorder="1" applyAlignment="1">
      <alignment vertical="center"/>
    </xf>
    <xf numFmtId="43" fontId="160" fillId="0" borderId="0" xfId="1" applyFont="1" applyAlignment="1">
      <alignment horizontal="right" vertical="center"/>
    </xf>
    <xf numFmtId="43" fontId="160" fillId="0" borderId="0" xfId="1" applyFont="1" applyAlignment="1">
      <alignment vertical="center"/>
    </xf>
    <xf numFmtId="0" fontId="163" fillId="0" borderId="14" xfId="0" applyFont="1" applyBorder="1" applyAlignment="1">
      <alignment horizontal="center" vertical="center"/>
    </xf>
    <xf numFmtId="43" fontId="163" fillId="0" borderId="26" xfId="1" applyFont="1" applyFill="1" applyBorder="1" applyAlignment="1">
      <alignment vertical="center"/>
    </xf>
    <xf numFmtId="0" fontId="164" fillId="0" borderId="27" xfId="0" applyFont="1" applyBorder="1" applyAlignment="1">
      <alignment vertical="center"/>
    </xf>
    <xf numFmtId="0" fontId="164" fillId="0" borderId="0" xfId="0" applyFont="1" applyAlignment="1">
      <alignment vertical="center"/>
    </xf>
    <xf numFmtId="43" fontId="164" fillId="0" borderId="0" xfId="1" applyFont="1" applyFill="1" applyAlignment="1">
      <alignment vertical="center"/>
    </xf>
    <xf numFmtId="0" fontId="163" fillId="0" borderId="26" xfId="0" applyFont="1" applyBorder="1" applyAlignment="1">
      <alignment vertical="center"/>
    </xf>
    <xf numFmtId="0" fontId="164" fillId="0" borderId="16" xfId="0" applyFont="1" applyBorder="1" applyAlignment="1">
      <alignment vertical="center"/>
    </xf>
    <xf numFmtId="0" fontId="164" fillId="0" borderId="15" xfId="0" applyFont="1" applyBorder="1" applyAlignment="1">
      <alignment vertical="center"/>
    </xf>
    <xf numFmtId="0" fontId="164" fillId="0" borderId="17" xfId="0" applyFont="1" applyBorder="1" applyAlignment="1">
      <alignment horizontal="center" vertical="center"/>
    </xf>
    <xf numFmtId="43" fontId="164" fillId="0" borderId="17" xfId="0" applyNumberFormat="1" applyFont="1" applyBorder="1" applyAlignment="1">
      <alignment vertical="center"/>
    </xf>
    <xf numFmtId="43" fontId="164" fillId="0" borderId="17" xfId="1" applyFont="1" applyFill="1" applyBorder="1" applyAlignment="1">
      <alignment vertical="center"/>
    </xf>
    <xf numFmtId="0" fontId="165" fillId="0" borderId="0" xfId="0" applyFont="1" applyAlignment="1">
      <alignment horizontal="center" vertical="center"/>
    </xf>
    <xf numFmtId="43" fontId="163" fillId="0" borderId="0" xfId="0" applyNumberFormat="1" applyFont="1" applyAlignment="1">
      <alignment vertical="center"/>
    </xf>
    <xf numFmtId="0" fontId="158" fillId="0" borderId="34" xfId="0" applyFont="1" applyBorder="1" applyAlignment="1">
      <alignment horizontal="center" vertical="center"/>
    </xf>
    <xf numFmtId="0" fontId="158" fillId="0" borderId="63" xfId="0" applyFont="1" applyBorder="1" applyAlignment="1">
      <alignment vertical="center"/>
    </xf>
    <xf numFmtId="0" fontId="158" fillId="0" borderId="29" xfId="0" applyFont="1" applyBorder="1" applyAlignment="1">
      <alignment vertical="center"/>
    </xf>
    <xf numFmtId="0" fontId="158" fillId="0" borderId="18" xfId="0" applyFont="1" applyBorder="1" applyAlignment="1">
      <alignment horizontal="center" vertical="center"/>
    </xf>
    <xf numFmtId="43" fontId="158" fillId="0" borderId="18" xfId="0" applyNumberFormat="1" applyFont="1" applyBorder="1" applyAlignment="1">
      <alignment vertical="center"/>
    </xf>
    <xf numFmtId="0" fontId="158" fillId="0" borderId="18" xfId="0" applyFont="1" applyBorder="1" applyAlignment="1">
      <alignment vertical="center"/>
    </xf>
    <xf numFmtId="0" fontId="158" fillId="0" borderId="30" xfId="0" applyFont="1" applyBorder="1" applyAlignment="1">
      <alignment vertical="center"/>
    </xf>
    <xf numFmtId="0" fontId="162" fillId="0" borderId="21" xfId="0" applyFont="1" applyBorder="1" applyAlignment="1">
      <alignment horizontal="center"/>
    </xf>
    <xf numFmtId="0" fontId="162" fillId="0" borderId="24" xfId="0" applyFont="1" applyBorder="1"/>
    <xf numFmtId="0" fontId="162" fillId="0" borderId="36" xfId="0" applyFont="1" applyBorder="1"/>
    <xf numFmtId="0" fontId="162" fillId="0" borderId="54" xfId="0" applyFont="1" applyBorder="1"/>
    <xf numFmtId="43" fontId="160" fillId="0" borderId="1" xfId="1" applyFont="1" applyBorder="1" applyAlignment="1">
      <alignment horizontal="center" vertical="center"/>
    </xf>
    <xf numFmtId="0" fontId="164" fillId="0" borderId="3" xfId="0" applyFont="1" applyBorder="1" applyAlignment="1">
      <alignment vertical="center"/>
    </xf>
    <xf numFmtId="0" fontId="164" fillId="0" borderId="32" xfId="0" applyFont="1" applyBorder="1" applyAlignment="1">
      <alignment vertical="center"/>
    </xf>
    <xf numFmtId="0" fontId="7" fillId="0" borderId="25" xfId="0" applyFont="1" applyBorder="1" applyAlignment="1">
      <alignment horizontal="center"/>
    </xf>
    <xf numFmtId="0" fontId="5" fillId="0" borderId="49" xfId="0" applyFont="1" applyBorder="1"/>
    <xf numFmtId="0" fontId="105" fillId="0" borderId="62" xfId="0" applyFont="1" applyBorder="1"/>
    <xf numFmtId="0" fontId="7" fillId="0" borderId="53" xfId="0" applyFont="1" applyBorder="1" applyAlignment="1">
      <alignment horizontal="left"/>
    </xf>
    <xf numFmtId="0" fontId="7" fillId="0" borderId="54" xfId="0" applyFont="1" applyBorder="1" applyAlignment="1">
      <alignment horizontal="left"/>
    </xf>
    <xf numFmtId="168" fontId="5" fillId="0" borderId="18" xfId="0" applyNumberFormat="1" applyFont="1" applyBorder="1" applyAlignment="1">
      <alignment horizontal="center"/>
    </xf>
    <xf numFmtId="43" fontId="5" fillId="0" borderId="56" xfId="1" applyFont="1" applyBorder="1" applyAlignment="1">
      <alignment horizontal="center"/>
    </xf>
    <xf numFmtId="4" fontId="161" fillId="0" borderId="0" xfId="5" applyFont="1" applyAlignment="1">
      <alignment horizontal="left" vertical="center"/>
    </xf>
    <xf numFmtId="4" fontId="161" fillId="0" borderId="0" xfId="5" applyFont="1" applyAlignment="1">
      <alignment vertical="center"/>
    </xf>
    <xf numFmtId="164" fontId="161" fillId="0" borderId="0" xfId="3" applyNumberFormat="1" applyFont="1" applyAlignment="1">
      <alignment horizontal="left" vertical="center"/>
    </xf>
    <xf numFmtId="0" fontId="161" fillId="10" borderId="39" xfId="0" applyFont="1" applyFill="1" applyBorder="1"/>
    <xf numFmtId="0" fontId="12" fillId="10" borderId="15" xfId="0" applyFont="1" applyFill="1" applyBorder="1"/>
    <xf numFmtId="0" fontId="166" fillId="0" borderId="132" xfId="0" applyFont="1" applyBorder="1" applyAlignment="1">
      <alignment horizontal="center" vertical="center"/>
    </xf>
    <xf numFmtId="173" fontId="7" fillId="0" borderId="103" xfId="1" applyNumberFormat="1" applyFont="1" applyBorder="1"/>
    <xf numFmtId="0" fontId="7" fillId="0" borderId="54" xfId="3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5" fillId="0" borderId="63" xfId="0" applyFont="1" applyBorder="1"/>
    <xf numFmtId="0" fontId="5" fillId="0" borderId="62" xfId="0" applyFont="1" applyBorder="1"/>
    <xf numFmtId="2" fontId="5" fillId="0" borderId="18" xfId="1" applyNumberFormat="1" applyFont="1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0" fontId="108" fillId="0" borderId="39" xfId="0" applyFont="1" applyBorder="1"/>
    <xf numFmtId="0" fontId="108" fillId="0" borderId="16" xfId="0" applyFont="1" applyBorder="1"/>
    <xf numFmtId="43" fontId="14" fillId="0" borderId="17" xfId="1" applyFont="1" applyBorder="1"/>
    <xf numFmtId="0" fontId="167" fillId="0" borderId="17" xfId="0" applyFont="1" applyBorder="1"/>
    <xf numFmtId="0" fontId="167" fillId="0" borderId="17" xfId="0" applyFont="1" applyBorder="1" applyAlignment="1">
      <alignment horizontal="center"/>
    </xf>
    <xf numFmtId="0" fontId="167" fillId="0" borderId="15" xfId="0" applyFont="1" applyBorder="1"/>
    <xf numFmtId="43" fontId="167" fillId="0" borderId="17" xfId="1" applyFont="1" applyBorder="1" applyAlignment="1">
      <alignment horizontal="center"/>
    </xf>
    <xf numFmtId="43" fontId="167" fillId="0" borderId="17" xfId="0" applyNumberFormat="1" applyFont="1" applyBorder="1" applyAlignment="1">
      <alignment horizontal="center"/>
    </xf>
    <xf numFmtId="0" fontId="161" fillId="0" borderId="39" xfId="0" applyFont="1" applyBorder="1"/>
    <xf numFmtId="0" fontId="165" fillId="0" borderId="15" xfId="0" applyFont="1" applyBorder="1"/>
    <xf numFmtId="0" fontId="161" fillId="0" borderId="17" xfId="0" applyFont="1" applyBorder="1" applyAlignment="1">
      <alignment horizontal="left" vertical="center"/>
    </xf>
    <xf numFmtId="43" fontId="5" fillId="0" borderId="17" xfId="0" applyNumberFormat="1" applyFont="1" applyBorder="1"/>
    <xf numFmtId="0" fontId="107" fillId="0" borderId="104" xfId="1" applyNumberFormat="1" applyFont="1" applyBorder="1" applyAlignment="1">
      <alignment horizontal="left" vertical="center"/>
    </xf>
    <xf numFmtId="0" fontId="107" fillId="0" borderId="95" xfId="0" applyFont="1" applyBorder="1" applyAlignment="1">
      <alignment vertical="center"/>
    </xf>
    <xf numFmtId="0" fontId="5" fillId="0" borderId="95" xfId="0" applyFont="1" applyBorder="1" applyAlignment="1">
      <alignment horizontal="center" vertical="center"/>
    </xf>
    <xf numFmtId="43" fontId="5" fillId="0" borderId="95" xfId="1" applyFont="1" applyFill="1" applyBorder="1" applyAlignment="1"/>
    <xf numFmtId="43" fontId="5" fillId="0" borderId="105" xfId="0" applyNumberFormat="1" applyFont="1" applyBorder="1" applyAlignment="1">
      <alignment vertical="center"/>
    </xf>
    <xf numFmtId="43" fontId="5" fillId="0" borderId="74" xfId="1" applyFont="1" applyBorder="1"/>
    <xf numFmtId="43" fontId="5" fillId="0" borderId="74" xfId="1" applyFont="1" applyFill="1" applyBorder="1" applyAlignment="1">
      <alignment horizontal="center"/>
    </xf>
    <xf numFmtId="0" fontId="7" fillId="0" borderId="96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61" fillId="0" borderId="15" xfId="0" applyFont="1" applyBorder="1" applyAlignment="1">
      <alignment horizontal="left"/>
    </xf>
    <xf numFmtId="0" fontId="161" fillId="0" borderId="35" xfId="1" applyNumberFormat="1" applyFont="1" applyBorder="1" applyAlignment="1">
      <alignment horizontal="left" indent="1"/>
    </xf>
    <xf numFmtId="2" fontId="5" fillId="0" borderId="9" xfId="1" applyNumberFormat="1" applyFont="1" applyFill="1" applyBorder="1" applyAlignment="1">
      <alignment horizontal="center"/>
    </xf>
    <xf numFmtId="0" fontId="161" fillId="0" borderId="9" xfId="0" applyFont="1" applyBorder="1" applyAlignment="1">
      <alignment horizontal="center" vertical="center"/>
    </xf>
    <xf numFmtId="2" fontId="5" fillId="0" borderId="9" xfId="0" applyNumberFormat="1" applyFont="1" applyBorder="1"/>
    <xf numFmtId="0" fontId="166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2" fontId="5" fillId="0" borderId="57" xfId="1" applyNumberFormat="1" applyFont="1" applyFill="1" applyBorder="1" applyAlignment="1">
      <alignment horizontal="center"/>
    </xf>
    <xf numFmtId="0" fontId="8" fillId="0" borderId="78" xfId="0" applyFont="1" applyBorder="1" applyAlignment="1">
      <alignment horizontal="center" vertical="center"/>
    </xf>
    <xf numFmtId="0" fontId="107" fillId="0" borderId="79" xfId="1" applyNumberFormat="1" applyFont="1" applyBorder="1" applyAlignment="1">
      <alignment vertical="center"/>
    </xf>
    <xf numFmtId="43" fontId="5" fillId="0" borderId="79" xfId="0" applyNumberFormat="1" applyFont="1" applyBorder="1"/>
    <xf numFmtId="43" fontId="107" fillId="0" borderId="79" xfId="1" applyFont="1" applyBorder="1" applyAlignment="1">
      <alignment horizontal="center" vertical="center"/>
    </xf>
    <xf numFmtId="43" fontId="5" fillId="0" borderId="79" xfId="0" applyNumberFormat="1" applyFont="1" applyBorder="1" applyAlignment="1">
      <alignment horizontal="center"/>
    </xf>
    <xf numFmtId="43" fontId="107" fillId="0" borderId="79" xfId="0" applyNumberFormat="1" applyFont="1" applyBorder="1"/>
    <xf numFmtId="0" fontId="166" fillId="0" borderId="80" xfId="0" applyFont="1" applyBorder="1" applyAlignment="1">
      <alignment horizontal="right"/>
    </xf>
    <xf numFmtId="0" fontId="16" fillId="21" borderId="66" xfId="6" applyFont="1" applyFill="1" applyBorder="1" applyAlignment="1">
      <alignment horizontal="center"/>
    </xf>
    <xf numFmtId="0" fontId="16" fillId="21" borderId="67" xfId="6" applyFont="1" applyFill="1" applyBorder="1" applyAlignment="1">
      <alignment horizontal="center"/>
    </xf>
    <xf numFmtId="0" fontId="16" fillId="21" borderId="38" xfId="6" applyFont="1" applyFill="1" applyBorder="1" applyAlignment="1">
      <alignment horizontal="center"/>
    </xf>
    <xf numFmtId="0" fontId="5" fillId="14" borderId="66" xfId="6" applyFont="1" applyFill="1" applyBorder="1" applyAlignment="1">
      <alignment horizontal="center"/>
    </xf>
    <xf numFmtId="0" fontId="5" fillId="14" borderId="67" xfId="6" applyFont="1" applyFill="1" applyBorder="1" applyAlignment="1">
      <alignment horizontal="center"/>
    </xf>
    <xf numFmtId="0" fontId="5" fillId="14" borderId="38" xfId="6" applyFont="1" applyFill="1" applyBorder="1" applyAlignment="1">
      <alignment horizontal="center"/>
    </xf>
    <xf numFmtId="0" fontId="5" fillId="8" borderId="66" xfId="6" applyFont="1" applyFill="1" applyBorder="1" applyAlignment="1">
      <alignment horizontal="center"/>
    </xf>
    <xf numFmtId="0" fontId="5" fillId="8" borderId="67" xfId="6" applyFont="1" applyFill="1" applyBorder="1" applyAlignment="1">
      <alignment horizontal="center"/>
    </xf>
    <xf numFmtId="0" fontId="5" fillId="8" borderId="38" xfId="6" applyFont="1" applyFill="1" applyBorder="1" applyAlignment="1">
      <alignment horizontal="center"/>
    </xf>
    <xf numFmtId="0" fontId="5" fillId="22" borderId="66" xfId="6" applyFont="1" applyFill="1" applyBorder="1" applyAlignment="1">
      <alignment horizontal="center"/>
    </xf>
    <xf numFmtId="0" fontId="5" fillId="22" borderId="67" xfId="6" applyFont="1" applyFill="1" applyBorder="1" applyAlignment="1">
      <alignment horizontal="center"/>
    </xf>
    <xf numFmtId="0" fontId="5" fillId="22" borderId="38" xfId="6" applyFont="1" applyFill="1" applyBorder="1" applyAlignment="1">
      <alignment horizontal="center"/>
    </xf>
    <xf numFmtId="0" fontId="7" fillId="6" borderId="66" xfId="7" applyFont="1" applyFill="1" applyBorder="1" applyAlignment="1" applyProtection="1">
      <alignment horizontal="center"/>
      <protection hidden="1"/>
    </xf>
    <xf numFmtId="0" fontId="7" fillId="6" borderId="67" xfId="7" applyFont="1" applyFill="1" applyBorder="1" applyAlignment="1" applyProtection="1">
      <alignment horizontal="center"/>
      <protection hidden="1"/>
    </xf>
    <xf numFmtId="0" fontId="7" fillId="6" borderId="38" xfId="7" applyFont="1" applyFill="1" applyBorder="1" applyAlignment="1" applyProtection="1">
      <alignment horizontal="center"/>
      <protection hidden="1"/>
    </xf>
    <xf numFmtId="0" fontId="7" fillId="4" borderId="66" xfId="7" applyFont="1" applyFill="1" applyBorder="1" applyAlignment="1" applyProtection="1">
      <alignment horizontal="center"/>
      <protection hidden="1"/>
    </xf>
    <xf numFmtId="0" fontId="7" fillId="4" borderId="67" xfId="7" applyFont="1" applyFill="1" applyBorder="1" applyAlignment="1" applyProtection="1">
      <alignment horizontal="center"/>
      <protection hidden="1"/>
    </xf>
    <xf numFmtId="0" fontId="7" fillId="4" borderId="38" xfId="7" applyFont="1" applyFill="1" applyBorder="1" applyAlignment="1" applyProtection="1">
      <alignment horizontal="center"/>
      <protection hidden="1"/>
    </xf>
    <xf numFmtId="0" fontId="7" fillId="5" borderId="66" xfId="7" applyFont="1" applyFill="1" applyBorder="1" applyAlignment="1" applyProtection="1">
      <alignment horizontal="center"/>
      <protection hidden="1"/>
    </xf>
    <xf numFmtId="0" fontId="7" fillId="5" borderId="67" xfId="7" applyFont="1" applyFill="1" applyBorder="1" applyAlignment="1" applyProtection="1">
      <alignment horizontal="center"/>
      <protection hidden="1"/>
    </xf>
    <xf numFmtId="0" fontId="7" fillId="5" borderId="38" xfId="7" applyFont="1" applyFill="1" applyBorder="1" applyAlignment="1" applyProtection="1">
      <alignment horizontal="center"/>
      <protection hidden="1"/>
    </xf>
    <xf numFmtId="0" fontId="20" fillId="0" borderId="66" xfId="7" applyFont="1" applyBorder="1" applyAlignment="1" applyProtection="1">
      <alignment horizontal="center"/>
      <protection locked="0" hidden="1"/>
    </xf>
    <xf numFmtId="0" fontId="20" fillId="0" borderId="38" xfId="7" applyFont="1" applyBorder="1" applyAlignment="1" applyProtection="1">
      <alignment horizontal="center"/>
      <protection locked="0" hidden="1"/>
    </xf>
    <xf numFmtId="0" fontId="18" fillId="0" borderId="66" xfId="6" applyFont="1" applyBorder="1" applyAlignment="1" applyProtection="1">
      <alignment horizontal="left"/>
      <protection locked="0"/>
    </xf>
    <xf numFmtId="0" fontId="18" fillId="0" borderId="67" xfId="6" applyFont="1" applyBorder="1" applyAlignment="1" applyProtection="1">
      <alignment horizontal="left"/>
      <protection locked="0"/>
    </xf>
    <xf numFmtId="0" fontId="18" fillId="0" borderId="38" xfId="6" applyFont="1" applyBorder="1" applyAlignment="1" applyProtection="1">
      <alignment horizontal="left"/>
      <protection locked="0"/>
    </xf>
    <xf numFmtId="1" fontId="134" fillId="23" borderId="66" xfId="7" applyNumberFormat="1" applyFont="1" applyFill="1" applyBorder="1" applyAlignment="1" applyProtection="1">
      <alignment horizontal="center"/>
      <protection hidden="1"/>
    </xf>
    <xf numFmtId="1" fontId="134" fillId="23" borderId="38" xfId="7" applyNumberFormat="1" applyFont="1" applyFill="1" applyBorder="1" applyAlignment="1" applyProtection="1">
      <alignment horizontal="center"/>
      <protection hidden="1"/>
    </xf>
    <xf numFmtId="0" fontId="20" fillId="0" borderId="66" xfId="6" applyFont="1" applyBorder="1" applyAlignment="1" applyProtection="1">
      <alignment horizontal="left"/>
      <protection locked="0"/>
    </xf>
    <xf numFmtId="0" fontId="20" fillId="0" borderId="67" xfId="6" applyFont="1" applyBorder="1" applyAlignment="1" applyProtection="1">
      <alignment horizontal="left"/>
      <protection locked="0"/>
    </xf>
    <xf numFmtId="0" fontId="20" fillId="0" borderId="38" xfId="6" applyFont="1" applyBorder="1" applyAlignment="1" applyProtection="1">
      <alignment horizontal="left"/>
      <protection locked="0"/>
    </xf>
    <xf numFmtId="1" fontId="131" fillId="4" borderId="120" xfId="7" applyNumberFormat="1" applyFont="1" applyFill="1" applyBorder="1" applyAlignment="1" applyProtection="1">
      <alignment horizontal="center"/>
      <protection hidden="1"/>
    </xf>
    <xf numFmtId="1" fontId="131" fillId="4" borderId="121" xfId="7" applyNumberFormat="1" applyFont="1" applyFill="1" applyBorder="1" applyAlignment="1" applyProtection="1">
      <alignment horizontal="center"/>
      <protection hidden="1"/>
    </xf>
    <xf numFmtId="1" fontId="131" fillId="4" borderId="128" xfId="7" applyNumberFormat="1" applyFont="1" applyFill="1" applyBorder="1" applyAlignment="1" applyProtection="1">
      <alignment horizontal="center"/>
      <protection hidden="1"/>
    </xf>
    <xf numFmtId="1" fontId="86" fillId="4" borderId="122" xfId="7" applyNumberFormat="1" applyFont="1" applyFill="1" applyBorder="1" applyAlignment="1" applyProtection="1">
      <alignment horizontal="center"/>
      <protection hidden="1"/>
    </xf>
    <xf numFmtId="1" fontId="86" fillId="4" borderId="123" xfId="7" applyNumberFormat="1" applyFont="1" applyFill="1" applyBorder="1" applyAlignment="1" applyProtection="1">
      <alignment horizontal="center"/>
      <protection hidden="1"/>
    </xf>
    <xf numFmtId="1" fontId="86" fillId="4" borderId="129" xfId="7" applyNumberFormat="1" applyFont="1" applyFill="1" applyBorder="1" applyAlignment="1" applyProtection="1">
      <alignment horizontal="center"/>
      <protection hidden="1"/>
    </xf>
    <xf numFmtId="0" fontId="21" fillId="0" borderId="66" xfId="6" applyFont="1" applyBorder="1" applyAlignment="1" applyProtection="1">
      <alignment horizontal="left"/>
      <protection locked="0"/>
    </xf>
    <xf numFmtId="0" fontId="21" fillId="0" borderId="67" xfId="6" applyFont="1" applyBorder="1" applyAlignment="1" applyProtection="1">
      <alignment horizontal="left"/>
      <protection locked="0"/>
    </xf>
    <xf numFmtId="0" fontId="21" fillId="0" borderId="38" xfId="6" applyFont="1" applyBorder="1" applyAlignment="1" applyProtection="1">
      <alignment horizontal="left"/>
      <protection locked="0"/>
    </xf>
    <xf numFmtId="0" fontId="134" fillId="23" borderId="66" xfId="7" applyFont="1" applyFill="1" applyBorder="1" applyAlignment="1" applyProtection="1">
      <alignment horizontal="center"/>
      <protection hidden="1"/>
    </xf>
    <xf numFmtId="0" fontId="134" fillId="23" borderId="38" xfId="7" applyFont="1" applyFill="1" applyBorder="1" applyAlignment="1" applyProtection="1">
      <alignment horizontal="center"/>
      <protection hidden="1"/>
    </xf>
    <xf numFmtId="0" fontId="7" fillId="6" borderId="109" xfId="7" applyFont="1" applyFill="1" applyBorder="1" applyAlignment="1" applyProtection="1">
      <alignment horizontal="center" vertical="center"/>
      <protection hidden="1"/>
    </xf>
    <xf numFmtId="0" fontId="7" fillId="6" borderId="60" xfId="7" applyFont="1" applyFill="1" applyBorder="1" applyAlignment="1" applyProtection="1">
      <alignment horizontal="center" vertical="center"/>
      <protection hidden="1"/>
    </xf>
    <xf numFmtId="0" fontId="7" fillId="6" borderId="56" xfId="7" applyFont="1" applyFill="1" applyBorder="1" applyAlignment="1" applyProtection="1">
      <alignment horizontal="center" vertical="center"/>
      <protection hidden="1"/>
    </xf>
    <xf numFmtId="0" fontId="7" fillId="6" borderId="110" xfId="7" applyFont="1" applyFill="1" applyBorder="1" applyAlignment="1" applyProtection="1">
      <alignment horizontal="center" vertical="center"/>
      <protection hidden="1"/>
    </xf>
    <xf numFmtId="0" fontId="7" fillId="6" borderId="111" xfId="7" applyFont="1" applyFill="1" applyBorder="1" applyAlignment="1" applyProtection="1">
      <alignment horizontal="center" vertical="center"/>
      <protection hidden="1"/>
    </xf>
    <xf numFmtId="0" fontId="7" fillId="6" borderId="59" xfId="7" applyFont="1" applyFill="1" applyBorder="1" applyAlignment="1" applyProtection="1">
      <alignment horizontal="center" vertical="center"/>
      <protection hidden="1"/>
    </xf>
    <xf numFmtId="0" fontId="7" fillId="6" borderId="32" xfId="7" applyFont="1" applyFill="1" applyBorder="1" applyAlignment="1" applyProtection="1">
      <alignment horizontal="center" vertical="center"/>
      <protection hidden="1"/>
    </xf>
    <xf numFmtId="0" fontId="7" fillId="6" borderId="53" xfId="7" applyFont="1" applyFill="1" applyBorder="1" applyAlignment="1" applyProtection="1">
      <alignment horizontal="center" vertical="center"/>
      <protection hidden="1"/>
    </xf>
    <xf numFmtId="0" fontId="7" fillId="6" borderId="55" xfId="7" applyFont="1" applyFill="1" applyBorder="1" applyAlignment="1" applyProtection="1">
      <alignment horizontal="center" vertical="center"/>
      <protection hidden="1"/>
    </xf>
    <xf numFmtId="0" fontId="7" fillId="6" borderId="112" xfId="7" applyFont="1" applyFill="1" applyBorder="1" applyAlignment="1" applyProtection="1">
      <alignment horizontal="center" vertical="center"/>
      <protection hidden="1"/>
    </xf>
    <xf numFmtId="0" fontId="7" fillId="6" borderId="0" xfId="7" applyFont="1" applyFill="1" applyAlignment="1" applyProtection="1">
      <alignment horizontal="center" vertical="center"/>
      <protection hidden="1"/>
    </xf>
    <xf numFmtId="0" fontId="7" fillId="6" borderId="54" xfId="7" applyFont="1" applyFill="1" applyBorder="1" applyAlignment="1" applyProtection="1">
      <alignment horizontal="center" vertical="center"/>
      <protection hidden="1"/>
    </xf>
    <xf numFmtId="0" fontId="15" fillId="0" borderId="0" xfId="6" applyFont="1" applyAlignment="1">
      <alignment horizontal="center"/>
    </xf>
    <xf numFmtId="0" fontId="7" fillId="0" borderId="51" xfId="7" applyFont="1" applyBorder="1" applyAlignment="1" applyProtection="1">
      <alignment horizontal="center" vertical="center"/>
      <protection hidden="1"/>
    </xf>
    <xf numFmtId="0" fontId="7" fillId="0" borderId="64" xfId="7" applyFont="1" applyBorder="1" applyAlignment="1" applyProtection="1">
      <alignment horizontal="center" vertical="center"/>
      <protection hidden="1"/>
    </xf>
    <xf numFmtId="0" fontId="7" fillId="0" borderId="65" xfId="7" applyFont="1" applyBorder="1" applyAlignment="1" applyProtection="1">
      <alignment horizontal="center" vertical="center"/>
      <protection hidden="1"/>
    </xf>
    <xf numFmtId="0" fontId="18" fillId="0" borderId="53" xfId="7" applyFont="1" applyBorder="1" applyAlignment="1" applyProtection="1">
      <alignment horizontal="center" vertical="center"/>
      <protection hidden="1"/>
    </xf>
    <xf numFmtId="0" fontId="18" fillId="0" borderId="55" xfId="7" applyFont="1" applyBorder="1" applyAlignment="1" applyProtection="1">
      <alignment horizontal="center" vertical="center"/>
      <protection hidden="1"/>
    </xf>
    <xf numFmtId="0" fontId="7" fillId="0" borderId="4" xfId="7" applyFont="1" applyBorder="1" applyAlignment="1" applyProtection="1">
      <alignment horizontal="center" vertical="center"/>
      <protection hidden="1"/>
    </xf>
    <xf numFmtId="0" fontId="7" fillId="0" borderId="56" xfId="7" applyFont="1" applyBorder="1" applyAlignment="1" applyProtection="1">
      <alignment horizontal="center" vertical="center"/>
      <protection hidden="1"/>
    </xf>
    <xf numFmtId="0" fontId="19" fillId="0" borderId="5" xfId="7" applyFont="1" applyBorder="1" applyAlignment="1" applyProtection="1">
      <alignment horizontal="center" vertical="center"/>
      <protection hidden="1"/>
    </xf>
    <xf numFmtId="0" fontId="19" fillId="0" borderId="68" xfId="7" applyFont="1" applyBorder="1" applyAlignment="1" applyProtection="1">
      <alignment horizontal="center" vertical="center"/>
      <protection hidden="1"/>
    </xf>
    <xf numFmtId="43" fontId="18" fillId="0" borderId="9" xfId="11" applyFont="1" applyFill="1" applyBorder="1" applyAlignment="1" applyProtection="1">
      <alignment horizontal="left" vertical="center"/>
      <protection locked="0"/>
    </xf>
    <xf numFmtId="0" fontId="7" fillId="0" borderId="53" xfId="7" applyFont="1" applyBorder="1" applyAlignment="1" applyProtection="1">
      <alignment horizontal="center" vertical="center"/>
      <protection hidden="1"/>
    </xf>
    <xf numFmtId="0" fontId="7" fillId="0" borderId="54" xfId="7" applyFont="1" applyBorder="1" applyAlignment="1" applyProtection="1">
      <alignment horizontal="center" vertical="center"/>
      <protection hidden="1"/>
    </xf>
    <xf numFmtId="0" fontId="7" fillId="0" borderId="55" xfId="7" applyFont="1" applyBorder="1" applyAlignment="1" applyProtection="1">
      <alignment horizontal="center" vertical="center"/>
      <protection hidden="1"/>
    </xf>
    <xf numFmtId="0" fontId="19" fillId="0" borderId="53" xfId="7" applyFont="1" applyBorder="1" applyAlignment="1" applyProtection="1">
      <alignment horizontal="center" vertical="center"/>
      <protection hidden="1"/>
    </xf>
    <xf numFmtId="0" fontId="19" fillId="0" borderId="54" xfId="7" applyFont="1" applyBorder="1" applyAlignment="1" applyProtection="1">
      <alignment horizontal="center" vertical="center"/>
      <protection hidden="1"/>
    </xf>
    <xf numFmtId="0" fontId="19" fillId="0" borderId="55" xfId="7" applyFont="1" applyBorder="1" applyAlignment="1" applyProtection="1">
      <alignment horizontal="center" vertical="center"/>
      <protection hidden="1"/>
    </xf>
    <xf numFmtId="0" fontId="19" fillId="0" borderId="69" xfId="7" applyFont="1" applyBorder="1" applyAlignment="1" applyProtection="1">
      <alignment horizontal="center" vertical="center"/>
      <protection hidden="1"/>
    </xf>
    <xf numFmtId="43" fontId="18" fillId="3" borderId="20" xfId="10" applyFont="1" applyFill="1" applyBorder="1" applyAlignment="1" applyProtection="1">
      <alignment vertical="center"/>
      <protection hidden="1"/>
    </xf>
    <xf numFmtId="43" fontId="7" fillId="3" borderId="20" xfId="10" applyFont="1" applyFill="1" applyBorder="1" applyAlignment="1" applyProtection="1">
      <alignment horizontal="center" wrapText="1"/>
      <protection hidden="1"/>
    </xf>
    <xf numFmtId="43" fontId="7" fillId="3" borderId="20" xfId="10" applyFont="1" applyFill="1" applyBorder="1" applyAlignment="1" applyProtection="1">
      <alignment horizontal="center"/>
      <protection hidden="1"/>
    </xf>
    <xf numFmtId="43" fontId="7" fillId="3" borderId="26" xfId="10" applyFont="1" applyFill="1" applyBorder="1" applyAlignment="1" applyProtection="1">
      <alignment horizontal="center"/>
      <protection hidden="1"/>
    </xf>
    <xf numFmtId="43" fontId="7" fillId="3" borderId="27" xfId="10" applyFont="1" applyFill="1" applyBorder="1" applyAlignment="1" applyProtection="1">
      <alignment horizontal="center"/>
      <protection hidden="1"/>
    </xf>
    <xf numFmtId="43" fontId="7" fillId="3" borderId="7" xfId="10" applyFont="1" applyFill="1" applyBorder="1" applyAlignment="1" applyProtection="1">
      <alignment horizontal="center" wrapText="1"/>
      <protection hidden="1"/>
    </xf>
    <xf numFmtId="43" fontId="7" fillId="3" borderId="7" xfId="10" applyFont="1" applyFill="1" applyBorder="1" applyAlignment="1" applyProtection="1">
      <alignment horizontal="center"/>
      <protection hidden="1"/>
    </xf>
    <xf numFmtId="43" fontId="18" fillId="3" borderId="7" xfId="10" applyFont="1" applyFill="1" applyBorder="1" applyAlignment="1" applyProtection="1">
      <alignment vertical="center"/>
      <protection hidden="1"/>
    </xf>
    <xf numFmtId="43" fontId="18" fillId="3" borderId="26" xfId="10" applyFont="1" applyFill="1" applyBorder="1" applyAlignment="1" applyProtection="1">
      <alignment horizontal="center" wrapText="1"/>
      <protection hidden="1"/>
    </xf>
    <xf numFmtId="43" fontId="18" fillId="3" borderId="26" xfId="10" applyFont="1" applyFill="1" applyBorder="1" applyAlignment="1" applyProtection="1">
      <alignment horizontal="center"/>
      <protection hidden="1"/>
    </xf>
    <xf numFmtId="43" fontId="7" fillId="3" borderId="26" xfId="10" applyFont="1" applyFill="1" applyBorder="1" applyAlignment="1" applyProtection="1">
      <alignment vertical="center"/>
      <protection hidden="1"/>
    </xf>
    <xf numFmtId="0" fontId="19" fillId="0" borderId="51" xfId="7" applyFont="1" applyBorder="1" applyAlignment="1" applyProtection="1">
      <alignment horizontal="center" vertical="center"/>
      <protection hidden="1"/>
    </xf>
    <xf numFmtId="0" fontId="19" fillId="0" borderId="64" xfId="7" applyFont="1" applyBorder="1" applyAlignment="1" applyProtection="1">
      <alignment horizontal="center" vertical="center"/>
      <protection hidden="1"/>
    </xf>
    <xf numFmtId="0" fontId="19" fillId="0" borderId="65" xfId="7" applyFont="1" applyBorder="1" applyAlignment="1" applyProtection="1">
      <alignment horizontal="center" vertical="center"/>
      <protection hidden="1"/>
    </xf>
    <xf numFmtId="0" fontId="7" fillId="0" borderId="7" xfId="7" applyFont="1" applyBorder="1" applyAlignment="1" applyProtection="1">
      <alignment horizontal="center" vertical="center"/>
      <protection hidden="1"/>
    </xf>
    <xf numFmtId="0" fontId="7" fillId="0" borderId="8" xfId="7" applyFont="1" applyBorder="1" applyAlignment="1" applyProtection="1">
      <alignment horizontal="center" vertical="center"/>
      <protection hidden="1"/>
    </xf>
    <xf numFmtId="0" fontId="19" fillId="0" borderId="70" xfId="7" applyFont="1" applyBorder="1" applyAlignment="1" applyProtection="1">
      <alignment horizontal="center" vertical="center"/>
      <protection hidden="1"/>
    </xf>
    <xf numFmtId="0" fontId="5" fillId="0" borderId="26" xfId="6" applyFont="1" applyBorder="1" applyAlignment="1">
      <alignment horizontal="center"/>
    </xf>
    <xf numFmtId="0" fontId="5" fillId="0" borderId="27" xfId="6" applyFont="1" applyBorder="1" applyAlignment="1">
      <alignment horizontal="center"/>
    </xf>
    <xf numFmtId="43" fontId="18" fillId="0" borderId="13" xfId="1" applyFont="1" applyFill="1" applyBorder="1" applyAlignment="1" applyProtection="1">
      <alignment horizontal="center"/>
    </xf>
    <xf numFmtId="43" fontId="7" fillId="0" borderId="13" xfId="1" applyFont="1" applyFill="1" applyBorder="1" applyAlignment="1" applyProtection="1">
      <alignment horizontal="center"/>
    </xf>
    <xf numFmtId="0" fontId="5" fillId="0" borderId="11" xfId="6" applyFont="1" applyBorder="1" applyAlignment="1">
      <alignment horizontal="center"/>
    </xf>
    <xf numFmtId="0" fontId="5" fillId="0" borderId="12" xfId="6" applyFont="1" applyBorder="1" applyAlignment="1">
      <alignment horizontal="center"/>
    </xf>
    <xf numFmtId="0" fontId="5" fillId="0" borderId="7" xfId="6" applyFont="1" applyBorder="1" applyAlignment="1">
      <alignment horizontal="center"/>
    </xf>
    <xf numFmtId="0" fontId="5" fillId="0" borderId="8" xfId="6" applyFont="1" applyBorder="1" applyAlignment="1">
      <alignment horizontal="center"/>
    </xf>
    <xf numFmtId="0" fontId="7" fillId="0" borderId="2" xfId="7" applyFont="1" applyBorder="1" applyAlignment="1" applyProtection="1">
      <alignment horizontal="center" vertical="center"/>
      <protection hidden="1"/>
    </xf>
    <xf numFmtId="0" fontId="16" fillId="0" borderId="51" xfId="7" applyFont="1" applyBorder="1" applyAlignment="1" applyProtection="1">
      <alignment horizontal="center" vertical="center"/>
      <protection hidden="1"/>
    </xf>
    <xf numFmtId="0" fontId="16" fillId="0" borderId="64" xfId="7" applyFont="1" applyBorder="1" applyAlignment="1" applyProtection="1">
      <alignment horizontal="center" vertical="center"/>
      <protection hidden="1"/>
    </xf>
    <xf numFmtId="0" fontId="16" fillId="0" borderId="65" xfId="7" applyFont="1" applyBorder="1" applyAlignment="1" applyProtection="1">
      <alignment horizontal="center" vertical="center"/>
      <protection hidden="1"/>
    </xf>
    <xf numFmtId="0" fontId="7" fillId="0" borderId="59" xfId="7" applyFont="1" applyBorder="1" applyAlignment="1" applyProtection="1">
      <alignment horizontal="center" vertical="center"/>
      <protection hidden="1"/>
    </xf>
    <xf numFmtId="0" fontId="7" fillId="0" borderId="32" xfId="7" applyFont="1" applyBorder="1" applyAlignment="1" applyProtection="1">
      <alignment horizontal="center" vertical="center"/>
      <protection hidden="1"/>
    </xf>
    <xf numFmtId="0" fontId="19" fillId="0" borderId="4" xfId="7" applyFont="1" applyBorder="1" applyAlignment="1" applyProtection="1">
      <alignment horizontal="center" vertical="center"/>
      <protection hidden="1"/>
    </xf>
    <xf numFmtId="0" fontId="19" fillId="0" borderId="60" xfId="7" applyFont="1" applyBorder="1" applyAlignment="1" applyProtection="1">
      <alignment horizontal="center" vertical="center"/>
      <protection hidden="1"/>
    </xf>
    <xf numFmtId="43" fontId="18" fillId="0" borderId="20" xfId="1" applyFont="1" applyFill="1" applyBorder="1" applyAlignment="1" applyProtection="1">
      <alignment horizontal="center"/>
    </xf>
    <xf numFmtId="43" fontId="7" fillId="0" borderId="20" xfId="1" applyFont="1" applyFill="1" applyBorder="1" applyAlignment="1" applyProtection="1">
      <alignment horizontal="center"/>
    </xf>
    <xf numFmtId="0" fontId="7" fillId="0" borderId="1" xfId="7" applyFont="1" applyBorder="1" applyAlignment="1" applyProtection="1">
      <alignment horizontal="center" vertical="center"/>
      <protection hidden="1"/>
    </xf>
    <xf numFmtId="0" fontId="7" fillId="0" borderId="52" xfId="7" applyFont="1" applyBorder="1" applyAlignment="1" applyProtection="1">
      <alignment horizontal="center" vertical="center"/>
      <protection hidden="1"/>
    </xf>
    <xf numFmtId="0" fontId="7" fillId="0" borderId="58" xfId="7" applyFont="1" applyBorder="1" applyAlignment="1" applyProtection="1">
      <alignment horizontal="center" vertical="center"/>
      <protection hidden="1"/>
    </xf>
    <xf numFmtId="0" fontId="7" fillId="0" borderId="6" xfId="7" applyFont="1" applyBorder="1" applyAlignment="1" applyProtection="1">
      <alignment horizontal="center" vertical="center"/>
      <protection hidden="1"/>
    </xf>
    <xf numFmtId="0" fontId="16" fillId="0" borderId="71" xfId="7" applyFont="1" applyBorder="1" applyAlignment="1" applyProtection="1">
      <alignment horizontal="center" vertical="center"/>
      <protection hidden="1"/>
    </xf>
    <xf numFmtId="0" fontId="16" fillId="0" borderId="88" xfId="7" applyFont="1" applyBorder="1" applyAlignment="1" applyProtection="1">
      <alignment horizontal="center" vertical="center"/>
      <protection hidden="1"/>
    </xf>
    <xf numFmtId="0" fontId="19" fillId="0" borderId="2" xfId="7" applyFont="1" applyBorder="1" applyAlignment="1" applyProtection="1">
      <alignment horizontal="center" vertical="center"/>
      <protection hidden="1"/>
    </xf>
    <xf numFmtId="0" fontId="19" fillId="0" borderId="50" xfId="7" applyFont="1" applyBorder="1" applyAlignment="1" applyProtection="1">
      <alignment horizontal="center" vertical="center"/>
      <protection hidden="1"/>
    </xf>
    <xf numFmtId="0" fontId="19" fillId="0" borderId="3" xfId="7" applyFont="1" applyBorder="1" applyAlignment="1" applyProtection="1">
      <alignment horizontal="center" vertical="center"/>
      <protection hidden="1"/>
    </xf>
    <xf numFmtId="0" fontId="19" fillId="0" borderId="59" xfId="7" applyFont="1" applyBorder="1" applyAlignment="1" applyProtection="1">
      <alignment horizontal="center" vertical="center"/>
      <protection hidden="1"/>
    </xf>
    <xf numFmtId="0" fontId="19" fillId="0" borderId="0" xfId="7" applyFont="1" applyAlignment="1" applyProtection="1">
      <alignment horizontal="center" vertical="center"/>
      <protection hidden="1"/>
    </xf>
    <xf numFmtId="0" fontId="19" fillId="0" borderId="32" xfId="7" applyFont="1" applyBorder="1" applyAlignment="1" applyProtection="1">
      <alignment horizontal="center" vertical="center"/>
      <protection hidden="1"/>
    </xf>
    <xf numFmtId="0" fontId="16" fillId="0" borderId="2" xfId="7" applyFont="1" applyBorder="1" applyAlignment="1" applyProtection="1">
      <alignment horizontal="center" vertical="center"/>
      <protection hidden="1"/>
    </xf>
    <xf numFmtId="0" fontId="16" fillId="0" borderId="50" xfId="7" applyFont="1" applyBorder="1" applyAlignment="1" applyProtection="1">
      <alignment horizontal="center" vertical="center"/>
      <protection hidden="1"/>
    </xf>
    <xf numFmtId="0" fontId="16" fillId="0" borderId="3" xfId="7" applyFont="1" applyBorder="1" applyAlignment="1" applyProtection="1">
      <alignment horizontal="center" vertical="center"/>
      <protection hidden="1"/>
    </xf>
    <xf numFmtId="0" fontId="16" fillId="0" borderId="53" xfId="7" applyFont="1" applyBorder="1" applyAlignment="1" applyProtection="1">
      <alignment horizontal="center" vertical="center"/>
      <protection hidden="1"/>
    </xf>
    <xf numFmtId="0" fontId="16" fillId="0" borderId="54" xfId="7" applyFont="1" applyBorder="1" applyAlignment="1" applyProtection="1">
      <alignment horizontal="center" vertical="center"/>
      <protection hidden="1"/>
    </xf>
    <xf numFmtId="0" fontId="16" fillId="0" borderId="55" xfId="7" applyFont="1" applyBorder="1" applyAlignment="1" applyProtection="1">
      <alignment horizontal="center" vertical="center"/>
      <protection hidden="1"/>
    </xf>
    <xf numFmtId="0" fontId="7" fillId="0" borderId="60" xfId="7" applyFont="1" applyBorder="1" applyAlignment="1" applyProtection="1">
      <alignment horizontal="center" vertical="center"/>
      <protection hidden="1"/>
    </xf>
    <xf numFmtId="0" fontId="7" fillId="0" borderId="9" xfId="7" applyFont="1" applyBorder="1" applyAlignment="1" applyProtection="1">
      <alignment horizontal="center" vertical="center"/>
      <protection hidden="1"/>
    </xf>
    <xf numFmtId="0" fontId="16" fillId="0" borderId="72" xfId="7" applyFont="1" applyBorder="1" applyAlignment="1" applyProtection="1">
      <alignment horizontal="center" vertical="center"/>
      <protection hidden="1"/>
    </xf>
    <xf numFmtId="0" fontId="16" fillId="0" borderId="49" xfId="7" applyFont="1" applyBorder="1" applyAlignment="1" applyProtection="1">
      <alignment horizontal="center" vertical="center"/>
      <protection hidden="1"/>
    </xf>
    <xf numFmtId="0" fontId="19" fillId="0" borderId="56" xfId="7" applyFont="1" applyBorder="1" applyAlignment="1" applyProtection="1">
      <alignment horizontal="center" vertical="center"/>
      <protection hidden="1"/>
    </xf>
    <xf numFmtId="0" fontId="19" fillId="0" borderId="9" xfId="7" applyFont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3" fontId="7" fillId="0" borderId="66" xfId="1" applyFont="1" applyBorder="1" applyAlignment="1">
      <alignment horizontal="center"/>
    </xf>
    <xf numFmtId="0" fontId="5" fillId="0" borderId="38" xfId="0" applyFont="1" applyBorder="1"/>
    <xf numFmtId="0" fontId="7" fillId="3" borderId="0" xfId="0" applyFont="1" applyFill="1" applyAlignment="1">
      <alignment horizontal="center"/>
    </xf>
    <xf numFmtId="43" fontId="7" fillId="0" borderId="38" xfId="1" applyFont="1" applyBorder="1" applyAlignment="1">
      <alignment horizontal="center"/>
    </xf>
    <xf numFmtId="0" fontId="7" fillId="0" borderId="109" xfId="0" applyFont="1" applyBorder="1" applyAlignment="1">
      <alignment horizontal="center" vertical="center"/>
    </xf>
    <xf numFmtId="0" fontId="5" fillId="0" borderId="56" xfId="0" applyFont="1" applyBorder="1"/>
    <xf numFmtId="0" fontId="7" fillId="0" borderId="56" xfId="0" applyFont="1" applyBorder="1" applyAlignment="1">
      <alignment horizontal="center" vertical="center"/>
    </xf>
    <xf numFmtId="0" fontId="7" fillId="0" borderId="110" xfId="0" applyFont="1" applyBorder="1" applyAlignment="1">
      <alignment horizontal="center" vertical="center"/>
    </xf>
    <xf numFmtId="0" fontId="5" fillId="0" borderId="112" xfId="0" applyFont="1" applyBorder="1"/>
    <xf numFmtId="0" fontId="5" fillId="0" borderId="111" xfId="0" applyFont="1" applyBorder="1"/>
    <xf numFmtId="0" fontId="5" fillId="0" borderId="53" xfId="0" applyFont="1" applyBorder="1"/>
    <xf numFmtId="0" fontId="5" fillId="0" borderId="54" xfId="0" applyFont="1" applyBorder="1"/>
    <xf numFmtId="0" fontId="5" fillId="0" borderId="55" xfId="0" applyFont="1" applyBorder="1"/>
    <xf numFmtId="0" fontId="7" fillId="0" borderId="112" xfId="0" applyFont="1" applyBorder="1" applyAlignment="1">
      <alignment horizontal="center" vertical="center"/>
    </xf>
    <xf numFmtId="0" fontId="7" fillId="0" borderId="111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22" fillId="0" borderId="0" xfId="20" applyFont="1" applyAlignment="1">
      <alignment horizontal="center"/>
    </xf>
    <xf numFmtId="0" fontId="15" fillId="0" borderId="0" xfId="0" applyFont="1" applyAlignment="1">
      <alignment horizontal="center"/>
    </xf>
    <xf numFmtId="2" fontId="5" fillId="2" borderId="11" xfId="0" applyNumberFormat="1" applyFont="1" applyFill="1" applyBorder="1" applyAlignment="1">
      <alignment horizontal="center"/>
    </xf>
    <xf numFmtId="2" fontId="5" fillId="2" borderId="12" xfId="0" applyNumberFormat="1" applyFont="1" applyFill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7" fillId="0" borderId="3" xfId="7" applyFont="1" applyBorder="1" applyAlignment="1" applyProtection="1">
      <alignment horizontal="center" vertical="center"/>
      <protection hidden="1"/>
    </xf>
    <xf numFmtId="0" fontId="7" fillId="0" borderId="5" xfId="7" applyFont="1" applyBorder="1" applyAlignment="1" applyProtection="1">
      <alignment horizontal="center" vertical="center"/>
      <protection hidden="1"/>
    </xf>
    <xf numFmtId="0" fontId="7" fillId="0" borderId="70" xfId="7" applyFont="1" applyBorder="1" applyAlignment="1" applyProtection="1">
      <alignment horizontal="center" vertical="center"/>
      <protection hidden="1"/>
    </xf>
    <xf numFmtId="0" fontId="7" fillId="0" borderId="50" xfId="7" applyFont="1" applyBorder="1" applyAlignment="1" applyProtection="1">
      <alignment horizontal="center" vertical="center"/>
      <protection hidden="1"/>
    </xf>
    <xf numFmtId="0" fontId="7" fillId="0" borderId="35" xfId="7" applyFont="1" applyBorder="1" applyAlignment="1" applyProtection="1">
      <alignment horizontal="center" vertical="center"/>
      <protection hidden="1"/>
    </xf>
    <xf numFmtId="2" fontId="5" fillId="0" borderId="15" xfId="0" applyNumberFormat="1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2" fontId="5" fillId="0" borderId="26" xfId="0" applyNumberFormat="1" applyFont="1" applyBorder="1" applyAlignment="1">
      <alignment horizontal="center"/>
    </xf>
    <xf numFmtId="2" fontId="5" fillId="0" borderId="2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51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0" borderId="104" xfId="0" applyFont="1" applyBorder="1" applyAlignment="1">
      <alignment horizontal="center"/>
    </xf>
    <xf numFmtId="0" fontId="5" fillId="0" borderId="105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43" fontId="5" fillId="0" borderId="17" xfId="1" applyFont="1" applyFill="1" applyBorder="1" applyAlignment="1">
      <alignment horizontal="center"/>
    </xf>
    <xf numFmtId="0" fontId="12" fillId="0" borderId="26" xfId="0" applyFont="1" applyBorder="1" applyAlignment="1">
      <alignment horizontal="left" vertical="center" wrapText="1"/>
    </xf>
    <xf numFmtId="0" fontId="12" fillId="0" borderId="57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43" fontId="86" fillId="0" borderId="17" xfId="1" applyFont="1" applyFill="1" applyBorder="1" applyAlignment="1">
      <alignment horizontal="center"/>
    </xf>
    <xf numFmtId="0" fontId="5" fillId="0" borderId="98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7" fillId="0" borderId="57" xfId="3" applyFont="1" applyBorder="1" applyAlignment="1">
      <alignment horizontal="center" vertical="center" wrapText="1"/>
    </xf>
    <xf numFmtId="0" fontId="7" fillId="0" borderId="57" xfId="3" applyFont="1" applyBorder="1" applyAlignment="1">
      <alignment horizontal="center" vertical="center"/>
    </xf>
    <xf numFmtId="0" fontId="7" fillId="0" borderId="54" xfId="3" applyFont="1" applyBorder="1" applyAlignment="1">
      <alignment horizontal="center" vertical="center" wrapText="1"/>
    </xf>
    <xf numFmtId="0" fontId="7" fillId="0" borderId="54" xfId="3" applyFont="1" applyBorder="1" applyAlignment="1">
      <alignment horizontal="center" vertical="center"/>
    </xf>
    <xf numFmtId="0" fontId="5" fillId="0" borderId="99" xfId="0" applyFont="1" applyBorder="1" applyAlignment="1">
      <alignment horizontal="center"/>
    </xf>
    <xf numFmtId="0" fontId="5" fillId="0" borderId="107" xfId="0" applyFont="1" applyBorder="1" applyAlignment="1">
      <alignment horizontal="center"/>
    </xf>
    <xf numFmtId="0" fontId="5" fillId="0" borderId="108" xfId="0" applyFont="1" applyBorder="1" applyAlignment="1">
      <alignment horizontal="center"/>
    </xf>
    <xf numFmtId="0" fontId="7" fillId="0" borderId="92" xfId="3" applyFont="1" applyBorder="1" applyAlignment="1">
      <alignment horizontal="center" vertical="center" wrapText="1"/>
    </xf>
    <xf numFmtId="0" fontId="7" fillId="0" borderId="93" xfId="3" applyFont="1" applyBorder="1" applyAlignment="1">
      <alignment horizontal="center" vertical="center"/>
    </xf>
    <xf numFmtId="0" fontId="7" fillId="0" borderId="94" xfId="3" applyFont="1" applyBorder="1" applyAlignment="1">
      <alignment horizontal="center" vertical="center"/>
    </xf>
    <xf numFmtId="43" fontId="5" fillId="0" borderId="24" xfId="1" applyFont="1" applyFill="1" applyBorder="1" applyAlignment="1">
      <alignment horizontal="center"/>
    </xf>
    <xf numFmtId="43" fontId="5" fillId="0" borderId="22" xfId="1" applyFont="1" applyFill="1" applyBorder="1" applyAlignment="1">
      <alignment horizontal="center"/>
    </xf>
    <xf numFmtId="43" fontId="5" fillId="0" borderId="16" xfId="1" applyFont="1" applyBorder="1" applyAlignment="1">
      <alignment horizontal="center"/>
    </xf>
    <xf numFmtId="43" fontId="5" fillId="0" borderId="17" xfId="1" applyFont="1" applyFill="1" applyBorder="1" applyAlignment="1"/>
    <xf numFmtId="43" fontId="86" fillId="0" borderId="90" xfId="1" applyFont="1" applyBorder="1" applyAlignment="1">
      <alignment horizontal="center"/>
    </xf>
    <xf numFmtId="43" fontId="86" fillId="0" borderId="0" xfId="1" applyFont="1" applyFill="1" applyBorder="1" applyAlignment="1"/>
    <xf numFmtId="43" fontId="5" fillId="0" borderId="90" xfId="1" applyFont="1" applyBorder="1" applyAlignment="1">
      <alignment horizontal="center"/>
    </xf>
    <xf numFmtId="43" fontId="5" fillId="0" borderId="0" xfId="1" applyFont="1" applyFill="1" applyBorder="1" applyAlignment="1"/>
    <xf numFmtId="43" fontId="5" fillId="0" borderId="4" xfId="1" applyFont="1" applyFill="1" applyBorder="1" applyAlignment="1">
      <alignment horizontal="center" vertical="center"/>
    </xf>
    <xf numFmtId="43" fontId="5" fillId="0" borderId="9" xfId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4" fillId="0" borderId="0" xfId="0" applyFont="1" applyAlignment="1">
      <alignment horizontal="center"/>
    </xf>
    <xf numFmtId="0" fontId="7" fillId="0" borderId="95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14" applyFont="1" applyAlignment="1" applyProtection="1">
      <alignment horizontal="center"/>
      <protection hidden="1"/>
    </xf>
    <xf numFmtId="0" fontId="7" fillId="0" borderId="0" xfId="18" applyFont="1" applyAlignment="1">
      <alignment horizontal="center" vertical="center"/>
    </xf>
    <xf numFmtId="0" fontId="97" fillId="0" borderId="0" xfId="2" applyFont="1" applyAlignment="1" applyProtection="1">
      <alignment horizontal="center"/>
      <protection hidden="1"/>
    </xf>
    <xf numFmtId="0" fontId="99" fillId="0" borderId="0" xfId="14" applyFont="1" applyAlignment="1" applyProtection="1">
      <alignment horizontal="center"/>
      <protection hidden="1"/>
    </xf>
    <xf numFmtId="0" fontId="99" fillId="0" borderId="110" xfId="14" applyFont="1" applyBorder="1" applyAlignment="1" applyProtection="1">
      <alignment horizontal="center" vertical="center"/>
      <protection hidden="1"/>
    </xf>
    <xf numFmtId="0" fontId="99" fillId="0" borderId="112" xfId="14" applyFont="1" applyBorder="1" applyAlignment="1" applyProtection="1">
      <alignment horizontal="center" vertical="center"/>
      <protection hidden="1"/>
    </xf>
    <xf numFmtId="0" fontId="99" fillId="0" borderId="111" xfId="14" applyFont="1" applyBorder="1" applyAlignment="1" applyProtection="1">
      <alignment horizontal="center" vertical="center"/>
      <protection hidden="1"/>
    </xf>
    <xf numFmtId="0" fontId="99" fillId="0" borderId="110" xfId="14" applyFont="1" applyBorder="1" applyAlignment="1" applyProtection="1">
      <alignment horizontal="center"/>
      <protection hidden="1"/>
    </xf>
    <xf numFmtId="0" fontId="99" fillId="0" borderId="112" xfId="14" applyFont="1" applyBorder="1" applyAlignment="1" applyProtection="1">
      <alignment horizontal="center"/>
      <protection hidden="1"/>
    </xf>
    <xf numFmtId="0" fontId="99" fillId="0" borderId="111" xfId="14" applyFont="1" applyBorder="1" applyAlignment="1" applyProtection="1">
      <alignment horizontal="center"/>
      <protection hidden="1"/>
    </xf>
    <xf numFmtId="0" fontId="99" fillId="0" borderId="49" xfId="14" applyFont="1" applyBorder="1" applyAlignment="1" applyProtection="1">
      <alignment horizontal="center"/>
      <protection hidden="1"/>
    </xf>
    <xf numFmtId="0" fontId="99" fillId="0" borderId="53" xfId="14" applyFont="1" applyBorder="1" applyAlignment="1" applyProtection="1">
      <alignment horizontal="center"/>
      <protection hidden="1"/>
    </xf>
    <xf numFmtId="0" fontId="99" fillId="0" borderId="54" xfId="14" applyFont="1" applyBorder="1" applyAlignment="1" applyProtection="1">
      <alignment horizontal="center"/>
      <protection hidden="1"/>
    </xf>
    <xf numFmtId="0" fontId="96" fillId="0" borderId="60" xfId="14" applyFont="1" applyBorder="1" applyAlignment="1" applyProtection="1">
      <alignment horizontal="center"/>
      <protection hidden="1"/>
    </xf>
    <xf numFmtId="0" fontId="99" fillId="0" borderId="66" xfId="14" applyFont="1" applyBorder="1" applyAlignment="1" applyProtection="1">
      <alignment horizontal="center"/>
      <protection hidden="1"/>
    </xf>
    <xf numFmtId="0" fontId="99" fillId="0" borderId="67" xfId="14" applyFont="1" applyBorder="1" applyAlignment="1" applyProtection="1">
      <alignment horizontal="center"/>
      <protection hidden="1"/>
    </xf>
    <xf numFmtId="0" fontId="99" fillId="0" borderId="38" xfId="14" applyFont="1" applyBorder="1" applyAlignment="1" applyProtection="1">
      <alignment horizontal="center"/>
      <protection hidden="1"/>
    </xf>
    <xf numFmtId="0" fontId="96" fillId="0" borderId="53" xfId="14" applyFont="1" applyBorder="1" applyAlignment="1" applyProtection="1">
      <alignment horizontal="center"/>
      <protection hidden="1"/>
    </xf>
    <xf numFmtId="0" fontId="96" fillId="0" borderId="55" xfId="14" applyFont="1" applyBorder="1" applyAlignment="1" applyProtection="1">
      <alignment horizontal="center"/>
      <protection hidden="1"/>
    </xf>
    <xf numFmtId="0" fontId="72" fillId="0" borderId="0" xfId="12" applyFont="1" applyAlignment="1">
      <alignment horizontal="center"/>
    </xf>
    <xf numFmtId="0" fontId="144" fillId="10" borderId="35" xfId="12" applyFont="1" applyFill="1" applyBorder="1" applyAlignment="1">
      <alignment horizontal="center" vertical="center"/>
    </xf>
    <xf numFmtId="0" fontId="146" fillId="10" borderId="78" xfId="12" applyFont="1" applyFill="1" applyBorder="1" applyAlignment="1">
      <alignment horizontal="center"/>
    </xf>
    <xf numFmtId="0" fontId="146" fillId="10" borderId="79" xfId="12" applyFont="1" applyFill="1" applyBorder="1" applyAlignment="1">
      <alignment horizontal="center"/>
    </xf>
    <xf numFmtId="0" fontId="146" fillId="10" borderId="80" xfId="12" applyFont="1" applyFill="1" applyBorder="1" applyAlignment="1">
      <alignment horizontal="center"/>
    </xf>
    <xf numFmtId="0" fontId="145" fillId="0" borderId="22" xfId="0" applyFont="1" applyBorder="1" applyAlignment="1">
      <alignment horizontal="center"/>
    </xf>
    <xf numFmtId="0" fontId="145" fillId="0" borderId="23" xfId="0" applyFont="1" applyBorder="1" applyAlignment="1">
      <alignment horizontal="center"/>
    </xf>
    <xf numFmtId="0" fontId="147" fillId="0" borderId="1" xfId="12" applyFont="1" applyBorder="1" applyAlignment="1">
      <alignment horizontal="center" vertical="center"/>
    </xf>
    <xf numFmtId="0" fontId="148" fillId="0" borderId="52" xfId="12" applyFont="1" applyBorder="1" applyAlignment="1">
      <alignment horizontal="center" vertical="center"/>
    </xf>
    <xf numFmtId="0" fontId="147" fillId="0" borderId="4" xfId="12" applyFont="1" applyBorder="1" applyAlignment="1">
      <alignment horizontal="center" vertical="center"/>
    </xf>
    <xf numFmtId="0" fontId="148" fillId="0" borderId="56" xfId="12" applyFont="1" applyBorder="1" applyAlignment="1">
      <alignment horizontal="center" vertical="center"/>
    </xf>
    <xf numFmtId="0" fontId="147" fillId="0" borderId="5" xfId="12" applyFont="1" applyBorder="1" applyAlignment="1">
      <alignment horizontal="center" vertical="center"/>
    </xf>
    <xf numFmtId="0" fontId="148" fillId="0" borderId="68" xfId="12" applyFont="1" applyBorder="1" applyAlignment="1">
      <alignment horizontal="center" vertical="center"/>
    </xf>
    <xf numFmtId="0" fontId="147" fillId="0" borderId="2" xfId="12" applyFont="1" applyBorder="1" applyAlignment="1">
      <alignment horizontal="center" vertical="center"/>
    </xf>
    <xf numFmtId="0" fontId="148" fillId="0" borderId="3" xfId="12" applyFont="1" applyBorder="1" applyAlignment="1">
      <alignment horizontal="center" vertical="center"/>
    </xf>
    <xf numFmtId="0" fontId="148" fillId="0" borderId="53" xfId="12" applyFont="1" applyBorder="1" applyAlignment="1">
      <alignment horizontal="center" vertical="center"/>
    </xf>
    <xf numFmtId="0" fontId="148" fillId="0" borderId="55" xfId="12" applyFont="1" applyBorder="1" applyAlignment="1">
      <alignment horizontal="center" vertical="center"/>
    </xf>
    <xf numFmtId="0" fontId="27" fillId="0" borderId="0" xfId="12" applyFont="1" applyAlignment="1">
      <alignment horizontal="center"/>
    </xf>
    <xf numFmtId="0" fontId="160" fillId="0" borderId="1" xfId="0" applyFont="1" applyBorder="1" applyAlignment="1">
      <alignment horizontal="center" vertical="center"/>
    </xf>
    <xf numFmtId="0" fontId="160" fillId="0" borderId="6" xfId="0" applyFont="1" applyBorder="1" applyAlignment="1">
      <alignment horizontal="center" vertical="center"/>
    </xf>
    <xf numFmtId="0" fontId="160" fillId="0" borderId="4" xfId="0" applyFont="1" applyBorder="1" applyAlignment="1">
      <alignment horizontal="center" vertical="center"/>
    </xf>
    <xf numFmtId="0" fontId="160" fillId="0" borderId="9" xfId="0" applyFont="1" applyBorder="1" applyAlignment="1">
      <alignment horizontal="center" vertical="center"/>
    </xf>
    <xf numFmtId="0" fontId="160" fillId="0" borderId="2" xfId="0" applyFont="1" applyBorder="1" applyAlignment="1">
      <alignment horizontal="center" vertical="center"/>
    </xf>
    <xf numFmtId="0" fontId="160" fillId="0" borderId="3" xfId="0" applyFont="1" applyBorder="1" applyAlignment="1">
      <alignment horizontal="center" vertical="center"/>
    </xf>
    <xf numFmtId="0" fontId="160" fillId="0" borderId="7" xfId="0" applyFont="1" applyBorder="1" applyAlignment="1">
      <alignment horizontal="center" vertical="center"/>
    </xf>
    <xf numFmtId="0" fontId="160" fillId="0" borderId="8" xfId="0" applyFont="1" applyBorder="1" applyAlignment="1">
      <alignment horizontal="center" vertical="center"/>
    </xf>
    <xf numFmtId="43" fontId="86" fillId="0" borderId="20" xfId="1" applyFont="1" applyFill="1" applyBorder="1" applyAlignment="1">
      <alignment horizontal="center"/>
    </xf>
    <xf numFmtId="0" fontId="7" fillId="0" borderId="79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43" fontId="5" fillId="0" borderId="17" xfId="1" applyFont="1" applyBorder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8" fillId="10" borderId="35" xfId="12" applyFont="1" applyFill="1" applyBorder="1" applyAlignment="1">
      <alignment horizontal="center" vertical="center"/>
    </xf>
    <xf numFmtId="0" fontId="29" fillId="10" borderId="78" xfId="12" applyFont="1" applyFill="1" applyBorder="1" applyAlignment="1">
      <alignment horizontal="center"/>
    </xf>
    <xf numFmtId="0" fontId="29" fillId="10" borderId="79" xfId="12" applyFont="1" applyFill="1" applyBorder="1" applyAlignment="1">
      <alignment horizontal="center"/>
    </xf>
    <xf numFmtId="0" fontId="29" fillId="10" borderId="80" xfId="12" applyFont="1" applyFill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30" fillId="0" borderId="1" xfId="12" applyFont="1" applyBorder="1" applyAlignment="1">
      <alignment horizontal="center" vertical="center"/>
    </xf>
    <xf numFmtId="0" fontId="73" fillId="0" borderId="52" xfId="12" applyFont="1" applyBorder="1" applyAlignment="1">
      <alignment horizontal="center" vertical="center"/>
    </xf>
    <xf numFmtId="0" fontId="32" fillId="0" borderId="4" xfId="12" applyFont="1" applyBorder="1" applyAlignment="1">
      <alignment horizontal="center" vertical="center"/>
    </xf>
    <xf numFmtId="0" fontId="33" fillId="0" borderId="56" xfId="12" applyFont="1" applyBorder="1" applyAlignment="1">
      <alignment horizontal="center" vertical="center"/>
    </xf>
    <xf numFmtId="0" fontId="32" fillId="0" borderId="5" xfId="12" applyFont="1" applyBorder="1" applyAlignment="1">
      <alignment horizontal="center" vertical="center"/>
    </xf>
    <xf numFmtId="0" fontId="33" fillId="0" borderId="68" xfId="12" applyFont="1" applyBorder="1" applyAlignment="1">
      <alignment horizontal="center" vertical="center"/>
    </xf>
    <xf numFmtId="0" fontId="30" fillId="0" borderId="2" xfId="12" applyFont="1" applyBorder="1" applyAlignment="1">
      <alignment horizontal="center" vertical="center"/>
    </xf>
    <xf numFmtId="0" fontId="73" fillId="0" borderId="3" xfId="12" applyFont="1" applyBorder="1" applyAlignment="1">
      <alignment horizontal="center" vertical="center"/>
    </xf>
    <xf numFmtId="0" fontId="73" fillId="0" borderId="53" xfId="12" applyFont="1" applyBorder="1" applyAlignment="1">
      <alignment horizontal="center" vertical="center"/>
    </xf>
    <xf numFmtId="0" fontId="73" fillId="0" borderId="55" xfId="12" applyFont="1" applyBorder="1" applyAlignment="1">
      <alignment horizontal="center" vertical="center"/>
    </xf>
    <xf numFmtId="0" fontId="25" fillId="0" borderId="22" xfId="0" applyFont="1" applyBorder="1" applyAlignment="1">
      <alignment horizontal="right"/>
    </xf>
    <xf numFmtId="0" fontId="25" fillId="0" borderId="61" xfId="0" applyFont="1" applyBorder="1" applyAlignment="1">
      <alignment horizontal="right"/>
    </xf>
    <xf numFmtId="0" fontId="25" fillId="0" borderId="23" xfId="0" applyFont="1" applyBorder="1" applyAlignment="1">
      <alignment horizontal="right"/>
    </xf>
    <xf numFmtId="0" fontId="31" fillId="0" borderId="58" xfId="12" applyBorder="1" applyAlignment="1">
      <alignment horizontal="center" vertical="center"/>
    </xf>
    <xf numFmtId="0" fontId="33" fillId="0" borderId="60" xfId="12" applyFont="1" applyBorder="1" applyAlignment="1">
      <alignment horizontal="center" vertical="center"/>
    </xf>
    <xf numFmtId="0" fontId="33" fillId="0" borderId="69" xfId="12" applyFont="1" applyBorder="1" applyAlignment="1">
      <alignment horizontal="center" vertical="center"/>
    </xf>
    <xf numFmtId="0" fontId="31" fillId="0" borderId="3" xfId="12" applyBorder="1" applyAlignment="1">
      <alignment horizontal="center" vertical="center"/>
    </xf>
    <xf numFmtId="0" fontId="31" fillId="0" borderId="59" xfId="12" applyBorder="1" applyAlignment="1">
      <alignment horizontal="center" vertical="center"/>
    </xf>
    <xf numFmtId="0" fontId="31" fillId="0" borderId="32" xfId="12" applyBorder="1" applyAlignment="1">
      <alignment horizontal="center" vertical="center"/>
    </xf>
    <xf numFmtId="0" fontId="31" fillId="0" borderId="52" xfId="12" applyBorder="1" applyAlignment="1">
      <alignment horizontal="center" vertical="center"/>
    </xf>
    <xf numFmtId="0" fontId="31" fillId="0" borderId="53" xfId="12" applyBorder="1" applyAlignment="1">
      <alignment horizontal="center" vertical="center"/>
    </xf>
    <xf numFmtId="0" fontId="31" fillId="0" borderId="55" xfId="12" applyBorder="1" applyAlignment="1">
      <alignment horizontal="center" vertical="center"/>
    </xf>
    <xf numFmtId="0" fontId="59" fillId="6" borderId="5" xfId="7" applyFont="1" applyFill="1" applyBorder="1" applyAlignment="1" applyProtection="1">
      <alignment horizontal="center" vertical="center"/>
      <protection hidden="1"/>
    </xf>
    <xf numFmtId="0" fontId="59" fillId="6" borderId="70" xfId="7" applyFont="1" applyFill="1" applyBorder="1" applyAlignment="1" applyProtection="1">
      <alignment horizontal="center" vertical="center"/>
      <protection hidden="1"/>
    </xf>
    <xf numFmtId="0" fontId="60" fillId="0" borderId="0" xfId="6" applyFont="1" applyAlignment="1">
      <alignment horizontal="center"/>
    </xf>
    <xf numFmtId="0" fontId="59" fillId="6" borderId="51" xfId="7" applyFont="1" applyFill="1" applyBorder="1" applyAlignment="1" applyProtection="1">
      <alignment horizontal="center" vertical="center"/>
      <protection hidden="1"/>
    </xf>
    <xf numFmtId="0" fontId="59" fillId="6" borderId="64" xfId="7" applyFont="1" applyFill="1" applyBorder="1" applyAlignment="1" applyProtection="1">
      <alignment horizontal="center" vertical="center"/>
      <protection hidden="1"/>
    </xf>
    <xf numFmtId="0" fontId="59" fillId="6" borderId="65" xfId="7" applyFont="1" applyFill="1" applyBorder="1" applyAlignment="1" applyProtection="1">
      <alignment horizontal="center" vertical="center"/>
      <protection hidden="1"/>
    </xf>
    <xf numFmtId="0" fontId="59" fillId="6" borderId="1" xfId="7" applyFont="1" applyFill="1" applyBorder="1" applyAlignment="1" applyProtection="1">
      <alignment horizontal="center" vertical="center"/>
      <protection hidden="1"/>
    </xf>
    <xf numFmtId="0" fontId="59" fillId="6" borderId="6" xfId="7" applyFont="1" applyFill="1" applyBorder="1" applyAlignment="1" applyProtection="1">
      <alignment horizontal="center" vertical="center"/>
      <protection hidden="1"/>
    </xf>
    <xf numFmtId="0" fontId="59" fillId="6" borderId="4" xfId="7" applyFont="1" applyFill="1" applyBorder="1" applyAlignment="1" applyProtection="1">
      <alignment horizontal="center" vertical="center"/>
      <protection hidden="1"/>
    </xf>
    <xf numFmtId="0" fontId="59" fillId="6" borderId="9" xfId="7" applyFont="1" applyFill="1" applyBorder="1" applyAlignment="1" applyProtection="1">
      <alignment horizontal="center" vertical="center"/>
      <protection hidden="1"/>
    </xf>
    <xf numFmtId="0" fontId="50" fillId="10" borderId="35" xfId="12" applyFont="1" applyFill="1" applyBorder="1" applyAlignment="1">
      <alignment horizontal="center" vertical="center"/>
    </xf>
    <xf numFmtId="0" fontId="11" fillId="10" borderId="78" xfId="12" applyFont="1" applyFill="1" applyBorder="1" applyAlignment="1">
      <alignment horizontal="center"/>
    </xf>
    <xf numFmtId="0" fontId="11" fillId="10" borderId="79" xfId="12" applyFont="1" applyFill="1" applyBorder="1" applyAlignment="1">
      <alignment horizontal="center"/>
    </xf>
    <xf numFmtId="0" fontId="11" fillId="10" borderId="80" xfId="12" applyFont="1" applyFill="1" applyBorder="1" applyAlignment="1">
      <alignment horizontal="center"/>
    </xf>
    <xf numFmtId="0" fontId="48" fillId="0" borderId="22" xfId="3" applyFont="1" applyBorder="1" applyAlignment="1">
      <alignment horizontal="center"/>
    </xf>
    <xf numFmtId="0" fontId="48" fillId="0" borderId="23" xfId="3" applyFont="1" applyBorder="1" applyAlignment="1">
      <alignment horizontal="center"/>
    </xf>
    <xf numFmtId="0" fontId="11" fillId="0" borderId="1" xfId="12" applyFont="1" applyBorder="1" applyAlignment="1">
      <alignment horizontal="center" vertical="center"/>
    </xf>
    <xf numFmtId="0" fontId="47" fillId="0" borderId="52" xfId="12" applyFont="1" applyBorder="1" applyAlignment="1">
      <alignment horizontal="center" vertical="center"/>
    </xf>
    <xf numFmtId="0" fontId="11" fillId="0" borderId="4" xfId="12" applyFont="1" applyBorder="1" applyAlignment="1">
      <alignment horizontal="center" vertical="center"/>
    </xf>
    <xf numFmtId="0" fontId="12" fillId="0" borderId="56" xfId="12" applyFont="1" applyBorder="1" applyAlignment="1">
      <alignment horizontal="center" vertical="center"/>
    </xf>
    <xf numFmtId="0" fontId="11" fillId="0" borderId="5" xfId="12" applyFont="1" applyBorder="1" applyAlignment="1">
      <alignment horizontal="center" vertical="center"/>
    </xf>
    <xf numFmtId="0" fontId="12" fillId="0" borderId="68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47" fillId="0" borderId="3" xfId="12" applyFont="1" applyBorder="1" applyAlignment="1">
      <alignment horizontal="center" vertical="center"/>
    </xf>
    <xf numFmtId="0" fontId="47" fillId="0" borderId="53" xfId="12" applyFont="1" applyBorder="1" applyAlignment="1">
      <alignment horizontal="center" vertical="center"/>
    </xf>
    <xf numFmtId="0" fontId="47" fillId="0" borderId="55" xfId="12" applyFont="1" applyBorder="1" applyAlignment="1">
      <alignment horizontal="center" vertical="center"/>
    </xf>
    <xf numFmtId="39" fontId="7" fillId="0" borderId="0" xfId="0" applyNumberFormat="1" applyFont="1" applyAlignment="1">
      <alignment horizontal="center"/>
    </xf>
    <xf numFmtId="0" fontId="5" fillId="0" borderId="72" xfId="0" applyFont="1" applyBorder="1" applyAlignment="1">
      <alignment horizontal="center"/>
    </xf>
    <xf numFmtId="0" fontId="5" fillId="0" borderId="71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5" fillId="0" borderId="15" xfId="6" applyFont="1" applyBorder="1" applyAlignment="1">
      <alignment horizontal="center"/>
    </xf>
    <xf numFmtId="0" fontId="5" fillId="0" borderId="16" xfId="6" applyFont="1" applyBorder="1" applyAlignment="1">
      <alignment horizontal="center"/>
    </xf>
    <xf numFmtId="43" fontId="7" fillId="0" borderId="7" xfId="1" applyFont="1" applyFill="1" applyBorder="1" applyAlignment="1" applyProtection="1">
      <alignment horizontal="center"/>
    </xf>
    <xf numFmtId="43" fontId="7" fillId="0" borderId="8" xfId="1" applyFont="1" applyFill="1" applyBorder="1" applyAlignment="1" applyProtection="1">
      <alignment horizontal="center"/>
    </xf>
    <xf numFmtId="43" fontId="18" fillId="0" borderId="7" xfId="1" applyFont="1" applyFill="1" applyBorder="1" applyAlignment="1" applyProtection="1">
      <alignment horizontal="center"/>
    </xf>
    <xf numFmtId="43" fontId="18" fillId="0" borderId="8" xfId="1" applyFont="1" applyFill="1" applyBorder="1" applyAlignment="1" applyProtection="1">
      <alignment horizontal="center"/>
    </xf>
    <xf numFmtId="43" fontId="18" fillId="3" borderId="7" xfId="10" applyFont="1" applyFill="1" applyBorder="1" applyAlignment="1" applyProtection="1">
      <alignment horizontal="center" wrapText="1"/>
      <protection hidden="1"/>
    </xf>
    <xf numFmtId="43" fontId="18" fillId="3" borderId="7" xfId="10" applyFont="1" applyFill="1" applyBorder="1" applyAlignment="1" applyProtection="1">
      <alignment horizontal="center"/>
      <protection hidden="1"/>
    </xf>
    <xf numFmtId="43" fontId="7" fillId="3" borderId="7" xfId="10" applyFont="1" applyFill="1" applyBorder="1" applyAlignment="1" applyProtection="1">
      <alignment vertical="center"/>
      <protection hidden="1"/>
    </xf>
  </cellXfs>
  <cellStyles count="22">
    <cellStyle name="Comma 6" xfId="19" xr:uid="{00000000-0005-0000-0000-000042000000}"/>
    <cellStyle name="Normal 2" xfId="14" xr:uid="{00000000-0005-0000-0000-00003D000000}"/>
    <cellStyle name="Normal 2 2 2 2" xfId="4" xr:uid="{00000000-0005-0000-0000-000033000000}"/>
    <cellStyle name="Normal 2 3" xfId="9" xr:uid="{00000000-0005-0000-0000-000038000000}"/>
    <cellStyle name="Normal 5" xfId="2" xr:uid="{00000000-0005-0000-0000-000031000000}"/>
    <cellStyle name="Normal_Sheet3" xfId="17" xr:uid="{00000000-0005-0000-0000-000040000000}"/>
    <cellStyle name="Normal_สรุปผลการประเมินราคา" xfId="5" xr:uid="{00000000-0005-0000-0000-000034000000}"/>
    <cellStyle name="เครื่องหมายจุลภาค 4" xfId="8" xr:uid="{00000000-0005-0000-0000-000037000000}"/>
    <cellStyle name="เครื่องหมายจุลภาค 4 2" xfId="10" xr:uid="{00000000-0005-0000-0000-000039000000}"/>
    <cellStyle name="เครื่องหมายจุลภาค 8" xfId="13" xr:uid="{00000000-0005-0000-0000-00003C000000}"/>
    <cellStyle name="จุลภาค" xfId="1" builtinId="3"/>
    <cellStyle name="จุลภาค 2" xfId="11" xr:uid="{00000000-0005-0000-0000-00003A000000}"/>
    <cellStyle name="ปกติ" xfId="0" builtinId="0"/>
    <cellStyle name="ปกติ 2" xfId="21" xr:uid="{00000000-0005-0000-0000-000044000000}"/>
    <cellStyle name="ปกติ 2 2" xfId="3" xr:uid="{00000000-0005-0000-0000-000032000000}"/>
    <cellStyle name="ปกติ 3 2" xfId="6" xr:uid="{00000000-0005-0000-0000-000035000000}"/>
    <cellStyle name="ปกติ 5" xfId="20" xr:uid="{00000000-0005-0000-0000-000043000000}"/>
    <cellStyle name="ปกติ 7" xfId="15" xr:uid="{00000000-0005-0000-0000-00003E000000}"/>
    <cellStyle name="ปกติ 9" xfId="12" xr:uid="{00000000-0005-0000-0000-00003B000000}"/>
    <cellStyle name="ปกติ_1_งานก่อสร้างทางและสะพาน" xfId="18" xr:uid="{00000000-0005-0000-0000-000041000000}"/>
    <cellStyle name="ปกติ_sn" xfId="16" xr:uid="{00000000-0005-0000-0000-00003F000000}"/>
    <cellStyle name="ปกติ_ข้อมูลค่าขนส่ง 49" xfId="7" xr:uid="{00000000-0005-0000-0000-000036000000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externalLink" Target="externalLinks/externalLink10.xml"/><Relationship Id="rId47" Type="http://schemas.openxmlformats.org/officeDocument/2006/relationships/externalLink" Target="externalLinks/externalLink15.xml"/><Relationship Id="rId63" Type="http://schemas.openxmlformats.org/officeDocument/2006/relationships/externalLink" Target="externalLinks/externalLink31.xml"/><Relationship Id="rId68" Type="http://schemas.openxmlformats.org/officeDocument/2006/relationships/externalLink" Target="externalLinks/externalLink36.xml"/><Relationship Id="rId84" Type="http://schemas.openxmlformats.org/officeDocument/2006/relationships/externalLink" Target="externalLinks/externalLink52.xml"/><Relationship Id="rId89" Type="http://schemas.openxmlformats.org/officeDocument/2006/relationships/externalLink" Target="externalLinks/externalLink57.xml"/><Relationship Id="rId112" Type="http://schemas.openxmlformats.org/officeDocument/2006/relationships/styles" Target="styles.xml"/><Relationship Id="rId16" Type="http://schemas.openxmlformats.org/officeDocument/2006/relationships/worksheet" Target="worksheets/sheet16.xml"/><Relationship Id="rId107" Type="http://schemas.openxmlformats.org/officeDocument/2006/relationships/externalLink" Target="externalLinks/externalLink75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5.xml"/><Relationship Id="rId53" Type="http://schemas.openxmlformats.org/officeDocument/2006/relationships/externalLink" Target="externalLinks/externalLink21.xml"/><Relationship Id="rId58" Type="http://schemas.openxmlformats.org/officeDocument/2006/relationships/externalLink" Target="externalLinks/externalLink26.xml"/><Relationship Id="rId74" Type="http://schemas.openxmlformats.org/officeDocument/2006/relationships/externalLink" Target="externalLinks/externalLink42.xml"/><Relationship Id="rId79" Type="http://schemas.openxmlformats.org/officeDocument/2006/relationships/externalLink" Target="externalLinks/externalLink47.xml"/><Relationship Id="rId102" Type="http://schemas.openxmlformats.org/officeDocument/2006/relationships/externalLink" Target="externalLinks/externalLink70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58.xml"/><Relationship Id="rId95" Type="http://schemas.openxmlformats.org/officeDocument/2006/relationships/externalLink" Target="externalLinks/externalLink63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externalLink" Target="externalLinks/externalLink11.xml"/><Relationship Id="rId48" Type="http://schemas.openxmlformats.org/officeDocument/2006/relationships/externalLink" Target="externalLinks/externalLink16.xml"/><Relationship Id="rId64" Type="http://schemas.openxmlformats.org/officeDocument/2006/relationships/externalLink" Target="externalLinks/externalLink32.xml"/><Relationship Id="rId69" Type="http://schemas.openxmlformats.org/officeDocument/2006/relationships/externalLink" Target="externalLinks/externalLink3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48.xml"/><Relationship Id="rId85" Type="http://schemas.openxmlformats.org/officeDocument/2006/relationships/externalLink" Target="externalLinks/externalLink5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externalLink" Target="externalLinks/externalLink1.xml"/><Relationship Id="rId38" Type="http://schemas.openxmlformats.org/officeDocument/2006/relationships/externalLink" Target="externalLinks/externalLink6.xml"/><Relationship Id="rId59" Type="http://schemas.openxmlformats.org/officeDocument/2006/relationships/externalLink" Target="externalLinks/externalLink27.xml"/><Relationship Id="rId103" Type="http://schemas.openxmlformats.org/officeDocument/2006/relationships/externalLink" Target="externalLinks/externalLink71.xml"/><Relationship Id="rId108" Type="http://schemas.openxmlformats.org/officeDocument/2006/relationships/externalLink" Target="externalLinks/externalLink76.xml"/><Relationship Id="rId54" Type="http://schemas.openxmlformats.org/officeDocument/2006/relationships/externalLink" Target="externalLinks/externalLink22.xml"/><Relationship Id="rId70" Type="http://schemas.openxmlformats.org/officeDocument/2006/relationships/externalLink" Target="externalLinks/externalLink38.xml"/><Relationship Id="rId75" Type="http://schemas.openxmlformats.org/officeDocument/2006/relationships/externalLink" Target="externalLinks/externalLink43.xml"/><Relationship Id="rId91" Type="http://schemas.openxmlformats.org/officeDocument/2006/relationships/externalLink" Target="externalLinks/externalLink59.xml"/><Relationship Id="rId96" Type="http://schemas.openxmlformats.org/officeDocument/2006/relationships/externalLink" Target="externalLinks/externalLink6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49" Type="http://schemas.openxmlformats.org/officeDocument/2006/relationships/externalLink" Target="externalLinks/externalLink17.xml"/><Relationship Id="rId57" Type="http://schemas.openxmlformats.org/officeDocument/2006/relationships/externalLink" Target="externalLinks/externalLink25.xml"/><Relationship Id="rId106" Type="http://schemas.openxmlformats.org/officeDocument/2006/relationships/externalLink" Target="externalLinks/externalLink74.xml"/><Relationship Id="rId114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2.xml"/><Relationship Id="rId52" Type="http://schemas.openxmlformats.org/officeDocument/2006/relationships/externalLink" Target="externalLinks/externalLink20.xml"/><Relationship Id="rId60" Type="http://schemas.openxmlformats.org/officeDocument/2006/relationships/externalLink" Target="externalLinks/externalLink28.xml"/><Relationship Id="rId65" Type="http://schemas.openxmlformats.org/officeDocument/2006/relationships/externalLink" Target="externalLinks/externalLink33.xml"/><Relationship Id="rId73" Type="http://schemas.openxmlformats.org/officeDocument/2006/relationships/externalLink" Target="externalLinks/externalLink41.xml"/><Relationship Id="rId78" Type="http://schemas.openxmlformats.org/officeDocument/2006/relationships/externalLink" Target="externalLinks/externalLink46.xml"/><Relationship Id="rId81" Type="http://schemas.openxmlformats.org/officeDocument/2006/relationships/externalLink" Target="externalLinks/externalLink49.xml"/><Relationship Id="rId86" Type="http://schemas.openxmlformats.org/officeDocument/2006/relationships/externalLink" Target="externalLinks/externalLink54.xml"/><Relationship Id="rId94" Type="http://schemas.openxmlformats.org/officeDocument/2006/relationships/externalLink" Target="externalLinks/externalLink62.xml"/><Relationship Id="rId99" Type="http://schemas.openxmlformats.org/officeDocument/2006/relationships/externalLink" Target="externalLinks/externalLink67.xml"/><Relationship Id="rId101" Type="http://schemas.openxmlformats.org/officeDocument/2006/relationships/externalLink" Target="externalLinks/externalLink6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7.xml"/><Relationship Id="rId109" Type="http://schemas.openxmlformats.org/officeDocument/2006/relationships/externalLink" Target="externalLinks/externalLink77.xml"/><Relationship Id="rId34" Type="http://schemas.openxmlformats.org/officeDocument/2006/relationships/externalLink" Target="externalLinks/externalLink2.xml"/><Relationship Id="rId50" Type="http://schemas.openxmlformats.org/officeDocument/2006/relationships/externalLink" Target="externalLinks/externalLink18.xml"/><Relationship Id="rId55" Type="http://schemas.openxmlformats.org/officeDocument/2006/relationships/externalLink" Target="externalLinks/externalLink23.xml"/><Relationship Id="rId76" Type="http://schemas.openxmlformats.org/officeDocument/2006/relationships/externalLink" Target="externalLinks/externalLink44.xml"/><Relationship Id="rId97" Type="http://schemas.openxmlformats.org/officeDocument/2006/relationships/externalLink" Target="externalLinks/externalLink65.xml"/><Relationship Id="rId104" Type="http://schemas.openxmlformats.org/officeDocument/2006/relationships/externalLink" Target="externalLinks/externalLink72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39.xml"/><Relationship Id="rId92" Type="http://schemas.openxmlformats.org/officeDocument/2006/relationships/externalLink" Target="externalLinks/externalLink6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externalLink" Target="externalLinks/externalLink8.xml"/><Relationship Id="rId45" Type="http://schemas.openxmlformats.org/officeDocument/2006/relationships/externalLink" Target="externalLinks/externalLink13.xml"/><Relationship Id="rId66" Type="http://schemas.openxmlformats.org/officeDocument/2006/relationships/externalLink" Target="externalLinks/externalLink34.xml"/><Relationship Id="rId87" Type="http://schemas.openxmlformats.org/officeDocument/2006/relationships/externalLink" Target="externalLinks/externalLink55.xml"/><Relationship Id="rId110" Type="http://schemas.openxmlformats.org/officeDocument/2006/relationships/externalLink" Target="externalLinks/externalLink78.xml"/><Relationship Id="rId61" Type="http://schemas.openxmlformats.org/officeDocument/2006/relationships/externalLink" Target="externalLinks/externalLink29.xml"/><Relationship Id="rId82" Type="http://schemas.openxmlformats.org/officeDocument/2006/relationships/externalLink" Target="externalLinks/externalLink50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Relationship Id="rId56" Type="http://schemas.openxmlformats.org/officeDocument/2006/relationships/externalLink" Target="externalLinks/externalLink24.xml"/><Relationship Id="rId77" Type="http://schemas.openxmlformats.org/officeDocument/2006/relationships/externalLink" Target="externalLinks/externalLink45.xml"/><Relationship Id="rId100" Type="http://schemas.openxmlformats.org/officeDocument/2006/relationships/externalLink" Target="externalLinks/externalLink68.xml"/><Relationship Id="rId105" Type="http://schemas.openxmlformats.org/officeDocument/2006/relationships/externalLink" Target="externalLinks/externalLink7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9.xml"/><Relationship Id="rId72" Type="http://schemas.openxmlformats.org/officeDocument/2006/relationships/externalLink" Target="externalLinks/externalLink40.xml"/><Relationship Id="rId93" Type="http://schemas.openxmlformats.org/officeDocument/2006/relationships/externalLink" Target="externalLinks/externalLink61.xml"/><Relationship Id="rId98" Type="http://schemas.openxmlformats.org/officeDocument/2006/relationships/externalLink" Target="externalLinks/externalLink66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externalLink" Target="externalLinks/externalLink14.xml"/><Relationship Id="rId67" Type="http://schemas.openxmlformats.org/officeDocument/2006/relationships/externalLink" Target="externalLinks/externalLink35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9.xml"/><Relationship Id="rId62" Type="http://schemas.openxmlformats.org/officeDocument/2006/relationships/externalLink" Target="externalLinks/externalLink30.xml"/><Relationship Id="rId83" Type="http://schemas.openxmlformats.org/officeDocument/2006/relationships/externalLink" Target="externalLinks/externalLink51.xml"/><Relationship Id="rId88" Type="http://schemas.openxmlformats.org/officeDocument/2006/relationships/externalLink" Target="externalLinks/externalLink5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Documents%20and%20Settings/Administrator/Desktop/&#3611;&#3634;&#3585;&#3607;&#3656;&#3629;&#3588;&#3636;&#3604;&#3651;&#3627;&#3617;&#3656;/KRABI%20-%20HUAYYOD%20-%201/KRABI-HUAYYOD%20-%201/Documents%20and%20Settings/user/My%20Documents/WorkZ/&#3594;&#3633;&#3618;&#3609;&#3634;&#3607;-&#3607;&#3621;%2032%20&#3605;&#3629;&#3609;%201%20&#3626;&#3656;&#3623;&#3609;&#3607;&#3637;&#3656;%202.xls?A1FBC6B7" TargetMode="External"/><Relationship Id="rId1" Type="http://schemas.openxmlformats.org/officeDocument/2006/relationships/externalLinkPath" Target="file:///\\A1FBC6B7\&#3594;&#3633;&#3618;&#3609;&#3634;&#3607;-&#3607;&#3621;%2032%20&#3605;&#3629;&#3609;%201%20&#3626;&#3656;&#3623;&#3609;&#3607;&#3637;&#3656;%2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2000\shared%20docs\Documents%20and%20Settings\NEXT%20Speed(R)\Desktop\Master_ROAD%20&amp;%20BOX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toon/&#3611;&#3619;&#3632;&#3617;&#3641;&#3621;50/&#3611;&#3634;&#3585;&#3607;&#3656;&#3629;1.1(REBIDDING)/KRABI%20-%20HUAYYOD%20-%201/KRABI-HUAYYOD%20-%201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86;&#3657;&#3629;&#3617;&#3641;&#3621;&#3629;&#3610;&#3619;&#3617;&#3619;&#3634;&#3588;&#3634;&#3585;&#3621;&#3634;&#3591;_&#3619;&#3632;&#3618;&#3629;&#3591;\06%20&#3605;&#3633;&#3623;&#3629;&#3618;&#3656;&#3634;&#3591;&#3585;&#3634;&#3619;&#3651;&#3594;&#3657;&#3649;&#3610;&#3610;&#3615;&#3629;&#3619;&#3660;&#3617;&#3588;&#3635;&#3609;&#3623;&#3603;\toon\&#3611;&#3619;&#3632;&#3617;&#3641;&#3621;50\&#3611;&#3634;&#3585;&#3607;&#3656;&#3629;1.1(REBIDDING)\KRABI%20-%20HUAYYOD%20-%201\KRABI-HUAYYOD%20-%201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11;&#3619;&#3632;&#3617;&#3634;&#3603;&#3619;&#3634;&#3588;&#3634;/&#3605;&#3633;&#3623;&#3629;&#3618;&#3656;&#3634;&#3591;&#3585;&#3634;&#3619;&#3651;&#3594;&#3657;&#3649;&#3610;&#3610;&#3615;&#3629;&#3619;&#3660;&#3617;&#3588;&#3635;&#3609;&#3623;&#3603;%20(13%20&#3617;&#3637;.&#3588;.2555)/&#3650;&#3611;&#3619;&#3649;&#3585;&#3619;&#3617;&#3607;&#3604;&#3621;&#3629;&#3591;&#3607;&#3635;/&#3650;&#3611;&#3619;&#3649;&#3585;&#3619;&#3617;&#3611;&#3619;&#3632;&#3617;&#3634;&#3603;&#3619;&#3634;&#3588;&#3634;&#3591;&#3634;&#3609;&#3607;&#3634;&#3591;%20&#3593;&#3610;&#3633;&#3610;&#3618;&#3585;&#3648;&#3621;&#3636;&#3585;&#3585;&#3634;&#3619;&#3595;&#3656;&#3629;&#3609;&#3649;&#3612;&#3656;&#3609;&#3591;&#3634;&#360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.&#3588;&#3656;&#3634;%20k\&#3591;&#3634;&#3609;&#3611;&#3619;&#3632;&#3617;&#3634;&#3603;&#3619;&#3634;&#3588;&#3634;\&#3605;&#3633;&#3623;&#3629;&#3618;&#3656;&#3634;&#3591;&#3585;&#3634;&#3619;&#3651;&#3594;&#3657;&#3649;&#3610;&#3610;&#3615;&#3629;&#3619;&#3660;&#3617;&#3588;&#3635;&#3609;&#3623;&#3603;%20(13%20&#3617;&#3637;.&#3588;.2555)\&#3650;&#3611;&#3619;&#3649;&#3585;&#3619;&#3617;&#3607;&#3604;&#3621;&#3629;&#3591;&#3607;&#3635;\&#3650;&#3611;&#3619;&#3649;&#3585;&#3619;&#3617;&#3611;&#3619;&#3632;&#3617;&#3634;&#3603;&#3619;&#3634;&#3588;&#3634;&#3591;&#3634;&#3609;&#3607;&#3634;&#3591;%20&#3593;&#3610;&#3633;&#3610;&#3618;&#3585;&#3648;&#3621;&#3636;&#3585;&#3585;&#3634;&#3619;&#3595;&#3656;&#3629;&#3609;&#3649;&#3612;&#3656;&#3609;&#3591;&#3634;&#360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/Downloads/PANG-NGA-KRABI-2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86;&#3657;&#3629;&#3617;&#3641;&#3621;&#3629;&#3610;&#3619;&#3617;&#3619;&#3634;&#3588;&#3634;&#3585;&#3621;&#3634;&#3591;_&#3619;&#3632;&#3618;&#3629;&#3591;\06%20&#3605;&#3633;&#3623;&#3629;&#3618;&#3656;&#3634;&#3591;&#3585;&#3634;&#3619;&#3651;&#3594;&#3657;&#3649;&#3610;&#3610;&#3615;&#3629;&#3619;&#3660;&#3617;&#3588;&#3635;&#3609;&#3623;&#3603;\PANG-NGA-KRABI-2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1.&#3585;&#3585;&#3648;&#3617;&#3608;&#3634;&#3619;&#3623;&#3618;%20&#3649;&#3586;&#3655;&#3591;&#3649;&#3619;&#3591;%20&#3585;&#3634;&#3619;&#3591;&#3634;&#3609;&#3604;&#3637;&#3627;&#3621;&#3633;&#3591;&#3611;&#3637;&#3651;&#3627;&#3617;&#3656;(5%20&#3617;&#3588;.65)\1.&#3648;&#3607;&#3624;&#3610;&#3633;&#3597;&#3597;&#3633;&#3605;&#3636;&#3611;&#3637;%202566\1.&#3619;&#3623;&#3617;&#3648;&#3607;&#3624;&#3610;&#3633;&#3597;&#3597;&#3633;&#3605;&#3636;&#3611;&#3637;%202566%20&#3592;&#3619;&#3636;&#3591;\&#3650;&#3611;&#3619;&#3649;&#3585;&#3619;&#3617;&#3611;&#3619;&#3632;&#3617;&#3634;&#3603;&#3619;&#3634;&#3588;&#3634;&#3591;&#3634;&#3609;&#3607;&#3634;&#3591;&#3607;&#3637;&#3656;&#3648;&#3627;&#3617;&#3639;&#3629;&#3609;&#3585;&#3633;&#3610;&#3650;&#3611;&#3619;&#3649;&#3585;&#3619;&#3617;&#3588;&#3635;&#3609;&#3623;&#3603;&#3629;&#3634;&#3588;&#3634;&#3619;&#3586;&#3629;&#3591;&#3629;&#3634;&#3592;&#3634;&#3619;&#3618;&#3660;&#3648;&#3626;&#3619;&#3636;&#3617;&#3614;&#3633;&#3609;&#3608;&#36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1.&#3626;&#3640;&#3586;&#3616;&#3634;&#3614;&#3649;&#3587;&#3655;&#3591;&#3649;&#3619;&#3591;&#3648;&#3630;&#3591;&#3648;&#3630;&#3591;&#3619;&#3656;&#3635;&#3619;&#3623;&#3618;(3%20&#3617;&#3585;&#3619;&#3634;&#3588;&#3617;%202566)635\1.&#3585;&#3648;&#3591;&#3636;&#3609;&#3629;&#3640;&#3604;&#3627;&#3609;&#3640;&#3609;&#3648;&#3593;&#3614;&#3634;&#3632;&#3585;&#3636;&#3592;%20&#3611;&#3637;%202566(&#3607;&#3637;&#3656;&#3652;&#3604;&#3657;&#3619;&#3633;&#3610;)\&#3588;&#3635;&#3609;&#3623;&#3603;&#3591;&#3634;&#3609;&#3607;&#3634;&#3591;&#3626;&#3634;&#3618;&#3626;&#3610;&#3634;&#3618;&#3654;%20&#3607;&#3637;&#3656;&#3652;&#3611;&#3629;&#3610;&#3619;&#3617;&#3585;&#3633;&#3610;%20&#3629;.&#3616;&#3603;23&#3617;&#3588;.66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2;&#3656;&#3634;&#3618;&#3586;&#3634;&#3604;%2062\&#3591;&#3634;&#3609;&#3588;&#3629;&#3609;&#3585;&#3619;&#3637;&#3605;\&#3588;&#3629;&#3609;&#3585;&#3619;&#3637;&#3605;%20&#3617;.8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F:\&#3586;&#3657;&#3629;&#3617;&#3641;&#3621;&#3629;&#3610;&#3619;&#3617;&#3619;&#3634;&#3588;&#3634;&#3585;&#3621;&#3634;&#3591;_&#3619;&#3632;&#3618;&#3629;&#3591;\06%20&#3605;&#3633;&#3623;&#3629;&#3618;&#3656;&#3634;&#3591;&#3585;&#3634;&#3619;&#3651;&#3594;&#3657;&#3649;&#3610;&#3610;&#3615;&#3629;&#3619;&#3660;&#3617;&#3588;&#3635;&#3609;&#3623;&#3603;\Documents%20and%20Settings\Administrator\Desktop\&#3611;&#3634;&#3585;&#3607;&#3656;&#3629;&#3588;&#3636;&#3604;&#3651;&#3627;&#3617;&#3656;\KRABI%20-%20HUAYYOD%20-%201\KRABI-HUAYYOD%20-%201\Documents%20and%20Settings\user\My%20Documents\WorkZ\&#3594;&#3633;&#3618;&#3609;&#3634;&#3607;-&#3607;&#3621;%2032%20&#3605;&#3629;&#3609;%201%20&#3626;&#3656;&#3623;&#3609;&#3607;&#3637;&#3656;%202.xls?CB6BF1A5" TargetMode="External"/><Relationship Id="rId1" Type="http://schemas.openxmlformats.org/officeDocument/2006/relationships/externalLinkPath" Target="file:///\\CB6BF1A5\&#3594;&#3633;&#3618;&#3609;&#3634;&#3607;-&#3607;&#3621;%2032%20&#3605;&#3629;&#3609;%201%20&#3626;&#3656;&#3623;&#3609;&#3607;&#3637;&#3656;%20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48;&#3607;&#3624;&#3610;&#3634;&#3621;&#3605;&#3635;&#3610;&#3621;&#3609;&#3634;&#3604;&#3637;%20&#3611;&#3637;54/&#3585;&#3629;&#3591;&#3594;&#3656;&#3634;&#3591;/&#3617;&#3634;&#3605;&#3619;&#3634;&#3600;&#3634;&#3609;&#3591;&#3634;&#3609;&#3585;&#3656;&#3629;&#3626;&#3619;&#3657;&#3634;&#3591;%20&#3607;&#3605;.&#3609;&#3634;&#3604;&#3637;%20&#3611;&#3637;%2054/&#3585;&#3635;&#3627;&#3609;&#3604;&#3619;&#3634;&#3588;&#3634;&#3585;&#3621;&#3634;&#3591;&#3591;&#3634;&#3609;&#3585;&#3656;&#3629;&#3626;&#3619;&#3657;&#3634;&#3591;%20&#3611;&#3637;%2054/&#3588;&#3619;&#3633;&#3657;&#3591;&#3607;&#3637;&#3656;%203/&#3606;&#3609;&#3609;%20&#3588;&#3626;&#3621;.&#3617;.1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%20&#3629;&#3610;&#3605;.&#3605;&#3632;&#3611;&#3629;&#3609;/&#3614;&#3633;&#3602;&#3609;&#3634;&#3650;&#3611;&#3619;&#3649;&#3585;&#3619;&#3617;&#3605;&#3632;&#3611;&#3629;&#3609;/&#3650;&#3611;&#3619;&#3649;&#3585;&#3619;&#3617;&#3611;&#3619;&#3632;&#3617;&#3634;&#3603;&#3619;&#3634;&#3588;&#3634;&#3591;&#3634;&#3609;&#3607;&#3634;&#3591;%20&#3605;&#3632;&#3611;&#3629;&#3609;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;&#3634;&#3609;%20&#3629;&#3610;&#3605;.&#3605;&#3632;&#3611;&#3629;&#3609;\&#3614;&#3633;&#3602;&#3609;&#3634;&#3650;&#3611;&#3619;&#3649;&#3585;&#3619;&#3617;&#3605;&#3632;&#3611;&#3629;&#3609;\&#3650;&#3611;&#3619;&#3649;&#3585;&#3619;&#3617;&#3611;&#3619;&#3632;&#3617;&#3634;&#3603;&#3619;&#3634;&#3588;&#3634;&#3591;&#3634;&#3609;&#3607;&#3634;&#3591;%20&#3605;&#3632;&#3611;&#3629;&#3609;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1.&#3648;&#3629;&#3585;&#3626;&#3634;&#3619;&#3586;&#3629;&#3591;&#3593;&#3633;&#3609;(&#3618;&#3657;&#3634;&#3618;&#3617;&#3634;%2016%20&#3585;&#3588;.63)/1.&#3648;&#3591;&#3636;&#3609;&#3629;&#3640;&#3604;&#3627;&#3609;&#3640;&#3609;&#3611;&#3637;%2065/&#3605;&#3633;&#3623;&#3629;&#3618;&#3656;&#3634;&#3591;&#3611;&#3619;&#3632;&#3617;&#3634;&#3603;&#3619;&#3634;&#3588;&#3634;&#3619;&#3632;&#3618;&#3629;&#3591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.&#3648;&#3591;&#3636;&#3609;&#3629;&#3640;&#3604;&#3627;&#3609;&#3640;&#3609;&#3611;&#3637;%2065\&#3605;&#3633;&#3623;&#3629;&#3618;&#3656;&#3634;&#3591;&#3611;&#3619;&#3632;&#3617;&#3634;&#3603;&#3619;&#3634;&#3588;&#3634;&#3619;&#3632;&#3618;&#3629;&#3591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tawut\shared%20docs\&#3619;&#3634;&#3588;&#3634;&#3585;&#3621;&#3634;&#3591;_2550\2_&#3618;&#3585;&#3619;&#3632;&#3604;&#3633;&#3610;2550\&#3618;&#3585;&#3619;&#3632;&#3604;&#3633;&#3610;&#3651;&#3627;&#3657;&#3607;&#3594;\12_&#3609;&#3634;&#3591;&#3614;&#3619;&#3632;&#3618;&#3634;AC_&#3626;&#3632;&#3614;&#3634;&#3609;_OK2550_prin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1.&#3648;&#3629;&#3585;&#3626;&#3634;&#3619;&#3586;&#3629;&#3591;&#3593;&#3633;&#3609;(&#3618;&#3657;&#3634;&#3618;&#3617;&#3634;%2016%20&#3585;&#3588;.63)/1.&#3588;&#3656;&#3634;%20k/&#3650;&#3611;&#3619;&#3649;&#3585;&#3619;&#3617;&#3611;&#3619;&#3632;&#3617;&#3634;&#3603;&#3619;&#3634;&#3588;&#3634;&#3591;&#3634;&#3609;&#3607;&#3634;&#3591;%20&#3593;&#3610;&#3633;&#3610;&#3618;&#3585;&#3648;&#3621;&#3636;&#3585;&#3585;&#3634;&#3619;&#3595;&#3656;&#3629;&#3609;&#3649;&#3612;&#3656;&#3609;&#3591;&#3634;&#360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.&#3588;&#3656;&#3634;%20k\&#3650;&#3611;&#3619;&#3649;&#3585;&#3619;&#3617;&#3611;&#3619;&#3632;&#3617;&#3634;&#3603;&#3619;&#3634;&#3588;&#3634;&#3591;&#3634;&#3609;&#3607;&#3634;&#3591;%20&#3593;&#3610;&#3633;&#3610;&#3618;&#3585;&#3648;&#3621;&#3636;&#3585;&#3585;&#3634;&#3619;&#3595;&#3656;&#3629;&#3609;&#3649;&#3612;&#3656;&#3609;&#3591;&#3634;&#360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2;&#3656;&#3634;&#3618;&#3586;&#3634;&#3604;%2062/&#3591;&#3634;&#3609;&#3588;&#3629;&#3609;&#3585;&#3619;&#3637;&#3605;/&#3588;&#3629;&#3609;&#3585;&#3619;&#3637;&#3605;%20&#3617;.8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.&#3588;&#3656;&#3634;%20k\kh\&#3619;&#3626;.&#3626;&#3607;.2%20&#3594;&#3640;&#3617;&#3594;&#3633;&#3618;\46&#3610;&#3634;&#3591;&#3614;&#3621;&#3637;%20&#3605;&#3629;&#3609;%201\&#3623;&#3591;&#3649;&#3627;&#3623;&#3609;&#3619;&#3629;&#3610;&#3609;&#3629;&#3585;\&#3594;&#3633;&#3618;&#3616;&#3641;&#3617;&#3636;%20%20-%20%20&#3649;&#3585;&#3657;&#3591;&#3588;&#3621;&#3657;&#3629;%20&#3626;&#3656;&#3623;&#3609;&#3607;&#3637;&#3656;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_&#3614;&#3633;&#3602;&#3609;&#3634;&#3650;&#3611;&#3619;&#3649;&#3585;&#3619;&#3617;/S_&#3650;&#3611;&#3619;&#3649;&#3585;&#3619;&#3617;&#3585;&#3635;&#3621;&#3633;&#3591;&#3614;&#3633;&#3602;&#3609;&#3634;&#3586;&#3638;&#3657;&#3609;&#3648;&#3629;&#3591;/&#3611;&#3619;&#3632;&#3617;&#3634;&#3603;&#3619;&#3634;&#3588;&#3634;&#3591;&#3634;&#3609;&#3607;&#3634;&#3591;(&#3652;&#3617;&#3656;&#3617;&#3637;&#3614;&#3634;&#3626;&#3648;&#3623;&#3636;&#3619;&#3660;&#3604;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623;&#3636;&#3624;&#3623;&#3585;&#3619;&#3619;&#3617;\&#3607;&#3656;&#3634;&#3604;&#3656;&#3634;&#3609;\&#3619;&#3632;&#3610;&#3610;&#3626;&#3633;&#3597;&#3597;&#3634;3(final)\unitcost%20&#3626;&#3633;&#3597;&#3597;&#3634;3\BOQ&#3626;&#3633;&#3597;&#3597;&#3634;3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/Downloads/kh/&#3619;&#3626;.&#3626;&#3607;.2%20&#3594;&#3640;&#3617;&#3594;&#3633;&#3618;/46&#3610;&#3634;&#3591;&#3614;&#3621;&#3637;%20&#3605;&#3629;&#3609;%201/&#3623;&#3591;&#3649;&#3627;&#3623;&#3609;&#3619;&#3629;&#3610;&#3609;&#3629;&#3585;/&#3594;&#3633;&#3618;&#3616;&#3641;&#3617;&#3636;%20%20-%20%20&#3649;&#3585;&#3657;&#3591;&#3588;&#3621;&#3657;&#3629;%20&#3626;&#3656;&#3623;&#3609;&#3607;&#3637;&#3656;%20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kh/&#3619;&#3626;.&#3626;&#3607;.2%20&#3594;&#3640;&#3617;&#3594;&#3633;&#3618;/46&#3610;&#3634;&#3591;&#3614;&#3621;&#3637;%20&#3605;&#3629;&#3609;%201/&#3623;&#3591;&#3649;&#3627;&#3623;&#3609;&#3619;&#3629;&#3610;&#3609;&#3629;&#3585;/&#3594;&#3633;&#3618;&#3616;&#3641;&#3617;&#3636;%20%20-%20%20&#3649;&#3585;&#3657;&#3591;&#3588;&#3621;&#3657;&#3629;%20&#3626;&#3656;&#3623;&#3609;&#3607;&#3637;&#3656;%20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&#3623;&#3591;&#3649;&#3627;&#3623;&#3609;&#3619;&#3629;&#3610;&#3609;&#3629;&#3585;\&#3594;&#3633;&#3618;&#3616;&#3641;&#3617;&#3636;%20%20-%20%20&#3649;&#3585;&#3657;&#3591;&#3588;&#3621;&#3657;&#3629;%20&#3626;&#3656;&#3623;&#3609;&#3607;&#3637;&#3656;%20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.&#3588;&#3656;&#3634;%20k\&#3619;&#3623;&#3610;&#3619;&#3623;&#3617;&#3591;&#3634;&#3609;\&#3611;&#3619;&#3632;&#3648;&#3617;&#3636;&#3609;&#3619;&#3634;&#3588;&#3634;&#3605;&#3657;&#3609;&#3607;&#3640;&#3609;\&#3611;&#3619;&#3632;&#3617;&#3641;&#3621;50\&#3614;&#3633;&#3591;&#3591;&#3634;-&#3585;&#3619;&#3632;&#3610;&#3637;&#3656;2.2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/Downloads/&#3619;&#3623;&#3610;&#3619;&#3623;&#3617;&#3591;&#3634;&#3609;/&#3611;&#3619;&#3632;&#3648;&#3617;&#3636;&#3609;&#3619;&#3634;&#3588;&#3634;&#3605;&#3657;&#3609;&#3607;&#3640;&#3609;/&#3611;&#3619;&#3632;&#3617;&#3641;&#3621;50/&#3614;&#3633;&#3591;&#3591;&#3634;-&#3585;&#3619;&#3632;&#3610;&#3637;&#3656;2.2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&#3619;&#3623;&#3610;&#3619;&#3623;&#3617;&#3591;&#3634;&#3609;/&#3611;&#3619;&#3632;&#3648;&#3617;&#3636;&#3609;&#3619;&#3634;&#3588;&#3634;&#3605;&#3657;&#3609;&#3607;&#3640;&#3609;/&#3611;&#3619;&#3632;&#3617;&#3641;&#3621;50/&#3614;&#3633;&#3591;&#3591;&#3634;-&#3585;&#3619;&#3632;&#3610;&#3637;&#3656;2.2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.&#3588;&#3656;&#3634;%20k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/Downloads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_&#3614;&#3633;&#3602;&#3609;&#3634;&#3650;&#3611;&#3619;&#3649;&#3585;&#3619;&#3617;\S_&#3650;&#3611;&#3619;&#3649;&#3585;&#3619;&#3617;&#3585;&#3635;&#3621;&#3633;&#3591;&#3614;&#3633;&#3602;&#3609;&#3634;&#3586;&#3638;&#3657;&#3609;&#3648;&#3629;&#3591;\&#3611;&#3619;&#3632;&#3617;&#3634;&#3603;&#3619;&#3634;&#3588;&#3634;&#3591;&#3634;&#3609;&#3607;&#3634;&#3591;(&#3652;&#3617;&#3656;&#3617;&#3637;&#3614;&#3634;&#3626;&#3648;&#3623;&#3636;&#3619;&#3660;&#3604;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.&#3648;&#3591;&#3636;&#3609;&#3629;&#3640;&#3604;&#3627;&#3609;&#3640;&#3609;&#3611;&#3637;%2065\&#3621;&#3634;&#3609;&#3585;&#3637;&#3628;&#3634;&#3610;&#3657;&#3634;&#3609;&#3627;&#3634;&#3618;&#3650;&#3624;&#3585;%20&#3627;&#3617;&#3641;&#3656;&#3607;&#3637;&#3656;10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1.&#3648;&#3629;&#3585;&#3626;&#3634;&#3619;&#3586;&#3629;&#3591;&#3593;&#3633;&#3609;(&#3618;&#3657;&#3634;&#3618;&#3617;&#3634;%2016%20&#3585;&#3588;.63)/1.&#3648;&#3591;&#3636;&#3609;&#3629;&#3640;&#3604;&#3627;&#3609;&#3640;&#3609;&#3611;&#3637;%2065/&#3621;&#3634;&#3609;&#3585;&#3637;&#3628;&#3634;&#3610;&#3657;&#3634;&#3609;&#3627;&#3634;&#3618;&#3650;&#3624;&#3585;%20&#3627;&#3617;&#3641;&#3656;&#3607;&#3637;&#3656;10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Desktop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4;&#3618;&#3649;&#3617;&#3656;&#3649;&#3605;&#3591;-&#3613;&#3634;&#3591;(&#3624;&#3641;&#3609;&#3618;&#3660;&#3613;&#3638;&#3585;&#3621;&#3641;&#3585;&#3594;&#3657;&#3634;&#3591;)%20&#3605;&#3629;&#3609;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/Downloads/&#3588;&#3656;&#3634;&#3586;&#3609;&#3626;&#3656;&#3591;%20(&#3605;&#3657;&#3609;&#3649;&#3610;&#3610;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.&#3588;&#3656;&#3634;%20k\&#3588;&#3656;&#3634;&#3586;&#3609;&#3626;&#3656;&#3591;%20(&#3605;&#3657;&#3609;&#3649;&#3610;&#3610;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5;&#3648;&#3609;&#3634;&#3586;&#3629;&#3591;%20Pier%20Box%20Girder%20Bridge%20Height%2020%20m%20max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2000\shared%20docs\0.02_&#3611;&#3619;.2553_&#3619;&#3634;&#3588;&#3634;&#3585;&#3621;&#3634;&#3591;\03_&#3619;&#3634;&#3588;&#3634;&#3585;&#3621;&#3634;&#3591;_&#3591;&#3610;&#3610;&#3635;&#3619;&#3640;&#3591;&#3650;&#3588;&#3619;&#3591;&#3586;&#3656;&#3634;&#3618;_53\B1_&#3609;&#3624;.4029_&#3593;&#3634;&#3610;&#3612;&#3636;&#3623;CS&#3626;&#3619;&#3632;&#3585;&#3635;_2552_OK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1.&#3585;&#3585;&#3648;&#3617;&#3608;&#3634;&#3619;&#3623;&#3618;%20&#3649;&#3586;&#3655;&#3591;&#3649;&#3619;&#3591;%20&#3585;&#3634;&#3619;&#3591;&#3634;&#3609;&#3604;&#3637;&#3627;&#3621;&#3633;&#3591;&#3611;&#3637;&#3651;&#3627;&#3617;&#3656;(5%20&#3617;&#3588;.65)\1.&#3648;&#3607;&#3624;&#3610;&#3633;&#3597;&#3597;&#3633;&#3605;&#3636;&#3611;&#3637;%202566\1.&#3619;&#3623;&#3617;&#3648;&#3607;&#3624;&#3610;&#3633;&#3597;&#3597;&#3633;&#3605;&#3636;&#3611;&#3637;%202566%20&#3592;&#3619;&#3636;&#3591;\&#3650;&#3611;&#3619;&#3649;&#3585;&#3619;&#3617;&#3611;&#3619;&#3632;&#3617;&#3634;&#3603;&#3619;&#3634;&#3588;&#3634;&#3591;&#3634;&#3609;&#3606;&#3609;&#3609;%20&#3588;&#3626;&#3621;.&#3607;&#3637;&#3656;&#3621;&#3629;&#3591;&#3651;&#3594;&#3657;&#3585;&#3633;&#3610;&#3586;&#3629;&#3591;&#3648;&#3619;&#3634;&#3595;&#3638;&#3656;&#3591;&#3651;&#3594;&#3657;&#3652;&#3604;&#3657;&#3592;&#3619;&#3636;&#3591;(25%20&#3626;&#3588;.65)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.%20&#3648;&#3605;&#3636;&#3657;&#3621;&#3592;&#3657;&#3634;\2.%20&#3591;&#3634;&#3609;%20&#3607;&#3594;&#3592;.&#3629;&#3635;&#3609;&#3634;&#3592;&#3648;&#3592;&#3619;&#3636;&#3597;\&#3626;&#3634;&#3618;%205021%20&#3610;.&#3627;&#3634;&#3604;%2055%20%20&#3649;&#3585;&#3657;&#3652;&#3586;%2024%20&#3605;&#3588;%2055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648;&#3591;&#3636;&#3609;&#3626;&#3632;&#3626;&#3617;%20&#3629;&#3610;&#3605;.&#3648;&#3594;&#3637;&#3618;&#3591;&#3604;&#3634;(23%20&#3617;&#3588;.67)/2.&#3611;&#3619;&#3632;&#3617;&#3634;&#3603;&#3619;&#3634;&#3588;&#3634;&#3592;&#3619;&#3636;&#3591;/&#3627;&#3617;&#3641;&#3656;&#3607;&#3637;&#3656;%206%20&#3607;&#3656;&#3629;&#3656;%20&#3588;&#3626;&#3621;.0.60%20&#3617;.&#3614;&#3619;&#3657;&#3629;&#3617;&#3610;&#3656;&#3629;&#3614;&#3633;&#3585;&#3595;&#3629;&#3618;2&#3606;&#3638;&#3591;&#3595;&#3629;&#3618;4.xlsm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1.&#3585;&#3585;&#3648;&#3617;&#3608;&#3634;&#3619;&#3623;&#3618;%20&#3649;&#3586;&#3655;&#3591;&#3649;&#3619;&#3591;%20&#3585;&#3634;&#3619;&#3591;&#3634;&#3609;&#3604;&#3637;&#3627;&#3621;&#3633;&#3591;&#3611;&#3637;&#3651;&#3627;&#3617;&#3656;(5%20&#3617;&#3588;.65)\1.&#3648;&#3607;&#3624;&#3610;&#3633;&#3597;&#3597;&#3633;&#3605;&#3636;&#3611;&#3637;%202566\0.&#3619;&#3623;&#3617;&#3648;&#3607;&#3624;&#3610;&#3633;&#3597;&#3597;&#3633;&#3605;&#3636;&#3611;&#3637;%202566%20&#3592;&#3619;&#3636;&#3591;\&#3650;&#3611;&#3619;&#3649;&#3585;&#3619;&#3617;&#3611;&#3619;&#3632;&#3617;&#3634;&#3603;&#3619;&#3634;&#3588;&#3634;&#3591;&#3634;&#3609;&#3606;&#3609;&#3609;%20&#3588;&#3626;&#3621;.&#3607;&#3637;&#3656;&#3651;&#3594;&#3657;&#3585;&#3633;&#3610;&#3648;&#3619;&#3634;&#3605;&#3629;&#3609;&#3607;&#3635;&#3648;&#3607;&#3624;&#3610;&#3633;&#3597;&#3597;&#3633;&#3605;&#3636;.xlsm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586;&#3657;&#3629;&#3610;&#3633;&#3597;&#3597;&#3633;&#3605;&#3636;%20&#3611;&#3637;%2068/1.&#3611;&#3619;&#3632;&#3617;&#3634;&#3603;&#3619;&#3634;&#3588;&#3634;/08.2567&#3627;&#3617;&#3641;&#3656;&#3607;&#3637;&#3656;%205%20&#3606;&#3609;&#3609;%20&#3588;&#3626;&#3621;.&#3626;&#3634;&#3618;&#3610;&#3657;&#3634;&#3609;&#3648;&#3627;&#3621;&#3656;&#3634;&#3617;&#3656;&#3623;&#3591;%20&#3606;&#3638;&#3591;%20&#3650;&#3588;&#3585;&#3588;&#3629;&#3618;&#3649;&#3618;&#3585;&#3610;&#3657;&#3634;&#3609;&#3609;&#3634;&#3618;&#3626;&#3636;&#3607;&#3608;&#3636;&#3614;&#3621;%20&#3626;&#3623;&#3609;&#3648;&#3585;&#3605;&#3640;.xlsm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648;&#3591;&#3636;&#3609;&#3626;&#3632;&#3626;&#3617;%20&#3629;&#3610;&#3605;.&#3648;&#3594;&#3637;&#3618;&#3591;&#3604;&#3634;(23%20&#3617;&#3588;.67)/2.&#3611;&#3619;&#3632;&#3617;&#3634;&#3603;&#3619;&#3634;&#3588;&#3634;&#3592;&#3619;&#3636;&#3591;/&#3627;&#3617;&#3641;&#3656;&#3607;&#3637;&#3656;%201%20&#3606;&#3609;&#3609;%20&#3588;&#3626;&#3621;.%20&#3611;&#3633;&#3657;&#3617;&#3609;&#3657;&#3635;&#3617;&#3633;&#3609;&#3585;&#3635;&#3609;&#3633;&#3609;-&#3611;&#3656;&#3634;&#3594;&#3657;&#3634;&#3648;&#3594;&#3637;&#3618;&#3591;&#3604;&#3634;%20&#3617;&#3637;&#3607;&#3656;&#3629;0.40&#3617;..xlsm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648;&#3591;&#3636;&#3609;&#3626;&#3632;&#3626;&#3617;%20&#3629;&#3610;&#3605;.&#3648;&#3594;&#3637;&#3618;&#3591;&#3604;&#3634;(23%20&#3617;&#3588;.67)/1.&#3607;&#3604;&#3621;&#3629;&#3591;%20&#3606;&#3609;&#3609;%20&#3588;&#3626;&#3621;.&#3617;.5/9&#3617;12&#3592;&#3619;&#3636;&#3591;&#3592;&#3619;&#3636;&#3591;&#3592;&#3619;&#3636;&#3591;.xlsm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1.&#3626;&#3640;&#3586;&#3616;&#3634;&#3614;&#3649;&#3587;&#3655;&#3591;&#3649;&#3619;&#3591;&#3648;&#3630;&#3591;&#3648;&#3630;&#3591;&#3619;&#3656;&#3635;&#3619;&#3623;&#3618;(3%20&#3617;&#3585;&#3619;&#3634;&#3588;&#3617;%202566)635\1.&#3648;&#3607;&#3624;&#3610;&#3633;&#3597;&#3597;&#3633;&#3605;&#3636;&#3611;&#3637;%202566\5.&#3621;&#3641;&#3585;&#3619;&#3633;&#3591;,.1,2,4&#3610;&#3634;&#3591;&#3626;&#3656;&#3623;&#3609;&#3617;5(&#3588;&#3626;.16-66&#3621;&#3623;.11&#3617;&#3588;.66&#3611;&#3619;&#3632;&#3594;&#3640;&#3617;.18&#3617;&#3588;66)\1.&#3619;&#3634;&#3588;&#3634;&#3585;&#3621;&#3634;&#3591;&#3648;&#3607;&#3624;&#3610;&#3633;&#3597;&#3597;&#3633;&#3605;&#3636;2566&#3621;&#3641;&#3585;&#3619;&#3633;&#3591;%20&#3617;.1,2,4&#3610;&#3634;&#3591;&#3626;&#3656;&#3623;&#3609;&#3617;.5%20&#3619;&#3634;&#3588;&#3634;3.83&#3610;.&#3588;&#3626;11-66%20&#3621;&#3623;.%209%20&#3617;&#3588;.66%202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SOffice\Excel\project41\extimate41\grang\chol02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MSOffice/Excel/project41/extimate41/grang/chol0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tawut\shared%20docs\1_&#3605;&#3657;&#3629;&#3591;&#3626;&#3641;&#3657;\0.1_&#3611;&#3619;.2552\0_&#3611;&#3619;.52\1_&#3609;&#3624;.4054_&#3585;&#3635;&#3649;&#3614;&#3591;&#3606;&#3617;_2552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CURVE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54%20&#3611;&#3619;.(&#3619;&#3607;&#3594;.&#3629;&#3634;&#3607;&#3619;)\&#3614;&#3637;&#3656;&#3611;&#3619;&#3632;&#3623;&#3633;&#3605;&#3636;\&#3611;&#3619;&#3632;&#3617;&#3634;&#3603;&#3619;&#3634;&#3588;&#3634;&#3605;&#3634;&#3617;&#3617;&#3605;&#3636;%20&#3588;&#3619;&#3617;.&#3611;&#3637;51\&#3611;&#3619;&#3632;&#3617;&#3634;&#3603;&#3619;&#3634;&#3588;&#3634;&#3591;&#3634;&#3609;&#3585;&#3656;&#3629;&#3626;&#3619;&#3657;&#3634;&#3591;&#3606;&#3609;&#3609;&#3617;&#3605;&#3636;50\&#3611;&#3619;&#3632;&#3617;&#3634;&#3603;&#3619;&#3634;&#3588;&#3634;&#3621;&#3634;&#3604;&#3618;&#3634;&#3591;(&#3605;&#3657;&#3609;&#3649;&#3610;&#3610;)\0_1%20&#3585;&#3617;(&#3617;&#3637;box)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648;&#3591;&#3636;&#3609;&#3626;&#3632;&#3626;&#3617;%20&#3629;&#3610;&#3605;.&#3648;&#3594;&#3637;&#3618;&#3591;&#3604;&#3634;(23%20&#3617;&#3588;.67)/1.&#3607;&#3604;&#3621;&#3629;&#3591;%20&#3606;&#3609;&#3609;%20&#3588;&#3626;&#3621;.&#3617;.5/CURVE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54%20&#3611;&#3619;.(&#3619;&#3607;&#3594;.&#3629;&#3634;&#3607;&#3619;)\&#3614;&#3637;&#3656;&#3611;&#3619;&#3632;&#3623;&#3633;&#3605;&#3636;\&#3611;&#3619;&#3636;&#3617;&#3634;&#3603;&#3623;&#3633;&#3626;&#3604;&#3640;&#3626;&#3632;&#3614;&#3634;&#360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ivil\Civil%20SpreadSheet\&#3650;&#3611;&#3619;&#3649;&#3585;&#3619;&#3617;&#3585;&#3621;&#3640;&#3656;&#3617;&#3594;&#3656;&#3634;&#3591;&#3611;&#3607;&#3640;&#3617;&#3619;&#3634;&#3594;&#3623;&#3591;&#3624;&#3634;\&#3591;&#3634;&#3609;&#3606;&#3609;&#360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Civil/Civil%20SpreadSheet/&#3650;&#3611;&#3619;&#3649;&#3585;&#3619;&#3617;&#3585;&#3621;&#3640;&#3656;&#3617;&#3594;&#3656;&#3634;&#3591;&#3611;&#3607;&#3640;&#3617;&#3619;&#3634;&#3594;&#3623;&#3591;&#3624;&#3634;/&#3591;&#3634;&#3609;&#3606;&#3609;&#3609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CER\Desktop\1.&#3648;&#3629;&#3585;&#3626;&#3634;&#3619;&#3586;&#3629;&#3591;&#3593;&#3633;&#3609;(&#3618;&#3657;&#3634;&#3618;&#3617;&#3634;%2016%20&#3585;&#3588;.63)\11.&#3591;&#3610;&#3629;&#3640;&#3604;&#3627;&#3609;&#3640;&#3609;%20&#3611;&#3637;%2064\(&#3649;&#3585;&#3657;&#3652;&#3586;)&#3606;&#3609;&#3609;&#3626;&#3634;&#3618;&#3607;&#3640;&#3656;&#3591;&#3613;&#3609;%20-%20&#3650;&#3588;&#3585;&#3585;&#3621;&#3634;&#3591;%20&#3629;&#3610;&#3605;.&#3585;&#3640;&#3604;&#3588;&#3657;&#3634;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1.&#3648;&#3629;&#3585;&#3626;&#3634;&#3619;&#3586;&#3629;&#3591;&#3593;&#3633;&#3609;(&#3618;&#3657;&#3634;&#3618;&#3617;&#3634;%2016%20&#3585;&#3588;.63)/1.&#3648;&#3607;&#3624;&#3610;&#3633;&#3597;&#3597;&#3633;&#3605;&#3636;&#3611;&#3637;%2064/11.&#3619;&#3634;&#3588;&#3634;&#3585;&#3621;&#3634;&#3591;&#3606;&#3609;&#3609;%20&#3588;&#3626;&#3621;.%20%20&#3619;&#3634;&#3591;&#3631;%20%20&#3621;&#3641;&#3585;&#3619;&#3633;&#3591;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3619;&#3633;&#3610;&#3648;&#3627;&#3617;&#3634;/4.23.2566%20&#3627;&#3617;&#3641;&#3656;&#3607;&#3637;&#3656;%201%20&#3585;&#3621;&#3634;&#3591;&#3611;&#3619;&#3633;&#3611;&#3619;&#3640;&#3591;&#3611;&#3657;&#3634;&#3618;%20&#3629;&#3610;&#3605;.&#3648;&#3604;&#3636;&#3617;/08.2567&#3627;&#3617;&#3641;&#3656;&#3607;&#3637;&#3656;%201%20&#3585;&#3621;&#3634;&#3591;&#3607;&#3656;&#3629;&#3656;%20&#3588;&#3626;&#3621;.0.40%20&#3617;.&#3614;&#3619;&#3657;&#3629;&#3617;&#3610;&#3656;&#3629;&#3614;&#3633;&#3585;&#3610;&#3619;&#3636;&#3648;&#3623;&#3603;&#3627;&#3609;&#3657;&#3634;&#3610;&#3657;&#3634;&#3609;&#3609;&#3634;&#3591;&#3626;&#3634;&#3623;&#3626;&#3640;&#3616;&#3633;&#3626;&#3626;&#3619;%20&#3626;&#3636;&#3591;&#3627;&#3660;&#3609;&#3634;&#3619;&#3634;&#3618;&#3603;&#3660;%20&#3606;&#3638;&#3591;%20&#3649;&#3618;&#3585;&#3610;&#3657;&#3634;&#3609;&#3609;&#3634;&#3618;&#3648;&#3604;&#3594;&#3594;&#3633;&#3618;.xlsm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01.&#3626;&#3640;&#3586;&#3616;&#3634;&#3614;&#3649;&#3587;&#3655;&#3591;&#3649;&#3619;&#3591;&#3648;&#3630;&#3591;&#3648;&#3630;&#3591;&#3619;&#3656;&#3635;&#3619;&#3623;&#3618;(3%20&#3617;&#3585;&#3619;&#3634;&#3588;&#3617;%202567)5595\1.&#3586;&#3657;&#3629;&#3610;&#3633;&#3597;&#3597;&#3633;&#3605;&#3636;%20&#3611;&#3637;%2068\1.&#3611;&#3619;&#3632;&#3617;&#3634;&#3603;&#3619;&#3634;&#3588;&#3634;\06.2567&#3627;&#3617;&#3641;&#3656;&#3607;&#3637;&#3656;%206%20&#3585;&#3621;&#3634;&#3591;&#3607;&#3656;&#3629;&#3656;%20&#3588;&#3626;&#3621;.0.60%20&#3617;.&#3614;&#3619;&#3657;&#3629;&#3617;&#3610;&#3656;&#3629;&#3614;&#3633;&#3585;&#3592;&#3634;&#3585;&#3610;&#3657;&#3634;&#3609;&#3634;&#3609;&#3650;&#3588;&#3585;&#3588;&#3629;&#3618;%20%20&#3595;&#3629;&#3618;%204%20&#3606;&#3638;&#3591;%20&#3619;&#3637;&#3626;&#3629;&#3619;&#3660;&#3607;&#3592;&#3640;&#3628;&#3634;&#3607;&#3636;&#3614;&#3618;&#3660;.xlsm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648;&#3591;&#3636;&#3609;&#3626;&#3632;&#3626;&#3617;%20&#3629;&#3610;&#3605;.&#3648;&#3594;&#3637;&#3618;&#3591;&#3604;&#3634;(23%20&#3617;&#3588;.67)/3.&#3611;&#3619;&#3632;&#3617;&#3634;&#3603;&#3619;&#3634;&#3588;&#3634;&#3592;&#3619;&#3636;&#3591;&#3592;&#3619;&#3636;&#3591;(29%20&#3617;&#3637;&#3588;.67)/1.&#3627;&#3629;&#3606;&#3633;&#3591;&#3611;&#3619;&#3632;&#3611;&#3634;/ppd10%20-%20&#3611;&#3619;&#3632;&#3617;&#3634;&#3603;&#3619;&#3634;&#3588;&#3634;(&#3585;&#3619;&#3617;&#3609;&#3657;&#3635;)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586;&#3657;&#3629;&#3610;&#3633;&#3597;&#3597;&#3633;&#3605;&#3636;%20&#3611;&#3637;%2067/11.2567%20&#3627;&#3617;&#3641;&#3656;&#3607;&#3637;&#3656;%205%20&#3585;&#3621;&#3634;&#3591;&#3611;&#3619;&#3633;&#3610;&#3611;&#3619;&#3640;&#3591;&#3619;&#3632;&#3610;&#3610;&#3611;&#3619;&#3632;&#3611;&#3634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/Downloads/&#3591;&#3634;&#3609;&#3607;&#3634;&#3591;&#3607;&#3657;&#3629;&#3591;&#3606;&#3636;&#3656;&#3609;%20&#3605;&#3634;&#3617;&#3617;&#3605;&#3636;%20&#3588;&#3619;&#3617;6&#3585;&#3614;50/&#3611;&#3619;&#3632;&#3617;&#3634;&#3603;&#3619;&#3634;&#3588;&#3634;&#3621;&#3634;&#3604;&#3618;&#3634;&#3591;(&#3605;&#3657;&#3609;&#3649;&#3610;&#3610;)/0_1%20&#3585;&#3617;(&#3617;&#3637;box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01.&#3626;&#3640;&#3586;&#3616;&#3634;&#3614;&#3649;&#3587;&#3655;&#3591;&#3649;&#3619;&#3591;&#3648;&#3630;&#3591;&#3648;&#3630;&#3591;&#3619;&#3656;&#3635;&#3619;&#3623;&#3618;(3%20&#3617;&#3585;&#3619;&#3634;&#3588;&#3617;%202567)5595\1.&#3648;&#3591;&#3636;&#3609;&#3626;&#3632;&#3626;&#3617;%20&#3629;&#3610;&#3605;.&#3648;&#3594;&#3637;&#3618;&#3591;&#3604;&#3634;(23%20&#3617;&#3588;.67)\2.&#3611;&#3619;&#3632;&#3617;&#3634;&#3603;&#3619;&#3634;&#3588;&#3634;&#3592;&#3619;&#3636;&#3591;\&#3619;&#3633;&#3657;&#3623;%20&#3629;&#3610;&#3605;.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06.66%20&#3627;&#3617;&#3641;&#3656;&#3607;&#3637;%203%20&#3652;&#3615;&#3650;&#3595;&#3621;&#3656;&#3634;&#3648;&#3595;&#3621;&#3660;&#3616;&#3634;&#3618;&#3651;&#3609;&#3627;&#3617;&#3641;&#3656;&#3610;&#3657;&#3634;&#3609;40&#3594;&#3640;&#3604;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586;&#3657;&#3629;&#3610;&#3633;&#3597;&#3597;&#3633;&#3605;&#3636;%20&#3611;&#3637;%2067/05.2567%20&#3611;&#3619;&#3633;&#3610;&#3611;&#3619;&#3640;&#3591;&#3650;&#3619;&#3591;&#3592;&#3629;&#3604;&#3619;&#3606;&#3648;&#3611;&#3655;&#3609;&#3627;&#3657;&#3629;&#3591;&#3648;&#3585;&#3655;&#3610;&#3586;&#3629;&#3591;%20&#3629;&#3610;&#3605;.&#3594;&#3638;&#3618;&#3591;&#3604;&#3634;.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586;&#3657;&#3629;&#3610;&#3633;&#3597;&#3597;&#3633;&#3605;&#3636;%20&#3611;&#3637;%2068/1.&#3611;&#3619;&#3632;&#3617;&#3634;&#3603;&#3619;&#3634;&#3588;&#3634;/01.68%20&#3627;&#3617;&#3641;&#3656;&#3607;&#3637;&#3656;%201%20&#3611;&#3619;&#3633;&#3610;&#3611;&#3619;&#3640;&#3591;&#3624;&#3634;&#3621;&#3634;&#3629;&#3648;&#3609;&#3585;&#3611;&#3619;&#3632;&#3626;&#3591;&#3588;&#3660;&#3611;&#3619;&#3632;&#3592;&#3635;&#3627;&#3617;&#3641;&#3656;&#3610;&#3657;&#3634;&#3609;.xlsx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586;&#3657;&#3629;&#3610;&#3633;&#3597;&#3597;&#3633;&#3605;&#3636;%20&#3611;&#3637;%2067/09.2567&#3627;&#3617;&#3641;&#3656;&#3607;&#3637;&#3656;%201%20&#3607;&#3656;&#3629;&#3656;%20&#3588;&#3626;&#3621;.0.40%20&#3617;.&#3614;&#3619;&#3657;&#3629;&#3617;&#3610;&#3656;&#3629;&#3614;&#3633;&#3585;&#3592;&#3634;&#3585;&#3627;&#3609;&#3657;&#3634;%20&#3629;&#3610;&#3605;.-&#3610;&#3657;&#3634;&#3609;&#3609;&#3634;&#3618;&#3592;&#3629;&#3617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01.&#3626;&#3640;&#3586;&#3616;&#3634;&#3614;&#3649;&#3587;&#3655;&#3591;&#3649;&#3619;&#3591;&#3648;&#3630;&#3591;&#3648;&#3630;&#3591;&#3619;&#3656;&#3635;&#3619;&#3623;&#3618;(3%20&#3617;&#3585;&#3619;&#3634;&#3588;&#3617;%202567)5595\1.&#3586;&#3657;&#3629;&#3610;&#3633;&#3597;&#3597;&#3633;&#3605;&#3636;%20&#3611;&#3637;%2067\04.2567%20&#3611;&#3619;&#3633;&#3611;&#3619;&#3640;&#3591;&#3627;&#3657;&#3629;&#3591;&#3609;&#3657;&#3635;&#3627;&#3657;&#3629;&#3591;&#3611;&#3619;&#3632;&#3594;&#3640;&#3617;%20&#3629;&#3610;&#3605;.&#3594;&#3638;&#3618;&#3591;&#3604;&#3634;..xlsx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1.&#3648;&#3591;&#3636;&#3609;&#3626;&#3632;&#3626;&#3617;%20&#3629;&#3610;&#3605;.&#3648;&#3594;&#3637;&#3618;&#3591;&#3604;&#3634;(23%20&#3617;&#3588;.67)/2.&#3611;&#3619;&#3632;&#3617;&#3634;&#3603;&#3619;&#3634;&#3588;&#3634;&#3592;&#3619;&#3636;&#3591;/&#3652;&#3615;&#3650;&#3595;&#3621;&#3656;&#3634;&#3648;&#3595;&#3621;&#3660;&#3616;&#3634;&#3618;&#3651;&#3609;&#3627;&#3617;&#3641;&#3656;&#3607;&#3637;%203.xlsx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1.&#3626;&#3640;&#3586;&#3616;&#3634;&#3614;&#3649;&#3587;&#3655;&#3591;&#3649;&#3619;&#3591;&#3648;&#3630;&#3591;&#3648;&#3630;&#3591;&#3619;&#3656;&#3635;&#3619;&#3623;&#3618;(3%20&#3617;&#3585;&#3619;&#3634;&#3588;&#3617;%202567)5595/6.&#3607;&#3637;&#3656;&#3648;&#3629;&#3634;&#3617;&#3634;&#3592;&#3634;&#3585;&#3594;&#3656;&#3634;&#3591;&#3611;&#3629;&#3619;&#3660;&#3610;/&#3623;&#3633;&#3626;&#3604;&#3640;&#3617;&#3623;&#3621;&#3619;&#3623;&#3617;&#3585;&#3656;&#3629;&#3629;&#3636;&#3600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/01.&#3585;&#3585;&#3648;&#3617;&#3608;&#3634;&#3619;&#3623;&#3618;%20&#3649;&#3586;&#3655;&#3591;&#3649;&#3619;&#3591;%20&#3585;&#3634;&#3619;&#3591;&#3634;&#3609;&#3604;&#3637;&#3627;&#3621;&#3633;&#3591;&#3611;&#3637;&#3651;&#3627;&#3617;&#3656;(5%20&#3617;&#3588;.65)/&#3595;&#3656;&#3629;&#3617;&#3649;&#3595;&#3617;&#3627;&#3621;&#3633;&#3591;&#3588;&#3634;%20&#3624;&#3614;&#3604;.&#3627;&#3634;&#3618;&#3650;&#3624;&#3585;/&#3611;&#3619;&#3632;&#3617;&#3634;&#3603;&#3619;&#3634;&#3588;&#3634;&#3650;&#3588;&#3619;&#3591;&#3585;&#3634;&#3619;&#3611;&#3619;&#3633;&#3610;&#3611;&#3619;&#3640;&#3591;&#3595;&#3656;&#3629;&#3617;&#3649;&#3595;&#3617;&#3629;&#3634;&#3588;&#3634;&#3619;%20&#3624;&#3614;&#3604;.&#3627;&#3634;&#3618;&#3650;&#3624;&#3585;(&#3629;&#3634;&#3619;&#3660;&#3617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/Downloads/&#3650;&#3611;&#3619;&#3649;&#3585;&#3619;&#3617;&#3611;&#3619;&#3632;&#3617;&#3634;&#3603;&#3619;&#3634;&#3588;&#3634;&#3591;&#3634;&#3609;&#3607;&#3634;&#3591;%20&#3593;&#3610;&#3633;&#3610;&#3618;&#3585;&#3648;&#3621;&#3636;&#3585;&#3585;&#3634;&#3619;&#3595;&#3656;&#3629;&#3609;&#3649;&#3612;&#3656;&#3609;&#3591;&#3634;&#360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626;&#3635;&#3609;&#3633;&#3585;&#3591;&#3634;&#3609;\&#3619;&#3623;&#3617;&#3591;&#3634;&#3609;&#3588;&#3635;&#3609;&#3623;&#3603;\&#3611;&#3619;&#3632;&#3617;&#3634;&#3603;&#3619;&#3634;&#3588;&#3634;\&#3586;&#3629;&#3591;&#3610;&#3629;&#3640;&#3604;&#3627;&#3609;&#3640;&#3609;58(&#3648;&#3614;&#3636;&#3656;&#3617;&#3648;&#3605;&#3636;&#3617;)&#3619;&#3629;&#3591;&#3623;&#3636;&#3607;&#3618;&#3634;\&#3591;&#3610;&#3611;&#3637;2551\&#3605;&#3633;&#3623;&#3629;&#3618;&#3656;&#3634;&#3591;&#3611;&#3619;&#3632;&#3617;&#3634;&#3603;&#3619;&#3634;&#3588;&#3634;&#3591;&#3634;&#3609;&#3621;&#3634;&#3604;&#3618;&#3634;&#3591;(&#3626;&#3617;&#3610;&#3641;&#3619;&#3603;&#3660;25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Form1"/>
      <sheetName val="ได้ราคาคอนกรีต-เหล็กเสริม"/>
      <sheetName val="Form3"/>
      <sheetName val="ได้งานตีเส้น"/>
      <sheetName val="Sheet1"/>
      <sheetName val="Form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"/>
      <sheetName val="ปริมาณงาน"/>
      <sheetName val="B_ข้อมูล"/>
      <sheetName val="ระยะขนส่ง"/>
      <sheetName val="สรุปรายละเอียด"/>
      <sheetName val="ปร5ท"/>
      <sheetName val="ปร4.1ท"/>
      <sheetName val="ปร4.2ท"/>
      <sheetName val="ค.งานทั่วไป"/>
      <sheetName val="ค่างานต้นทุน"/>
      <sheetName val="ถนนคสล"/>
      <sheetName val="ต้นทุนcon,steel&amp;แบบ"/>
      <sheetName val="Cut-Fill"/>
      <sheetName val="ท่อ&amp;HW"/>
      <sheetName val="H@E"/>
      <sheetName val="ป้ายจราจร"/>
      <sheetName val="Widennig"/>
      <sheetName val="ทางเชื่อม"/>
      <sheetName val="ข้อมูลท่อเหลี่ยม"/>
      <sheetName val="สรุปข้อมูลสะพาน"/>
      <sheetName val="B_คำนวณ"/>
      <sheetName val="ค่าขนส่ง"/>
      <sheetName val="ค่าเสื่อมราคา"/>
      <sheetName val="Factor_F"/>
      <sheetName val="SLOPE PROTECT"/>
      <sheetName val="Module3"/>
      <sheetName val="กรอกราคาวัสดุที่แหล่ง"/>
      <sheetName val="Sheet1"/>
      <sheetName val="0.00-3.00"/>
      <sheetName val="วัสดุAPPROACH1"/>
      <sheetName val="วัสดุAPPROACH2"/>
      <sheetName val="HWBOX"/>
      <sheetName val="วัสดุในเสาเข็มsay"/>
      <sheetName val="วัสดุตอม่อตับริมกว้าง9ม_1"/>
      <sheetName val="2_สรุปปริมาณวสดุSLOPE PROT."/>
      <sheetName val="1.5_สรุปปริมาณวัสดุSLOPE PROT."/>
      <sheetName val="วัสดุตอม่อตับกลางที่1"/>
      <sheetName val="ค่าขนส่ง10ล้อลากพ่วง"/>
      <sheetName val="ค่าดำเนินการและค่าเสื่อมราคา"/>
      <sheetName val="สรุปข้อมูลประมาณราคา"/>
      <sheetName val="หมวดโครงสร้าง"/>
      <sheetName val="ไฟฟ้า"/>
      <sheetName val="ข้อมูลโครงการ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ค่าขนส่งด้วยรถพ่วง"/>
      <sheetName val="ค่าขนส่ง"/>
      <sheetName val="ค่าขนส่งด้วยหกล้อ"/>
      <sheetName val="ค่างานต้นทุน"/>
      <sheetName val="ข้อมูลขนส่ง"/>
      <sheetName val="F(ของเรา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ค่าขนส่งด้วยรถพ่วง"/>
      <sheetName val="ค่าขนส่ง"/>
      <sheetName val="ค่าขนส่งด้วยหกล้อ"/>
      <sheetName val="ค่างานต้นทุน"/>
      <sheetName val="ข้อมูลขนส่ง"/>
      <sheetName val="Form1"/>
      <sheetName val="Form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  <sheetName val="12 ข้อมูลงานไม้แบบ"/>
      <sheetName val="ต้นทุนcon,steel&amp;แบบ"/>
      <sheetName val="ข้อมูล"/>
      <sheetName val="F(ของเรา)"/>
      <sheetName val="10 ข้อมูลวัสดุ-ค่าดำเนิน"/>
      <sheetName val="11 ข้อมูลงานC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  <sheetName val="Cost Estimate"/>
      <sheetName val="ข้อมูลงานคอนกรีต"/>
      <sheetName val="ราคาวัสดุที่แหล่ง+ระยะขนส่ง"/>
      <sheetName val="ข้อมูลโครงการ"/>
      <sheetName val="ข้อมูลโครงการ (2)"/>
      <sheetName val="12 ข้อมูลงานไม้แบบ"/>
      <sheetName val="10 ข้อมูลวัสดุ-ค่าดำเนิน"/>
      <sheetName val="11 ข้อมูลงานCon"/>
      <sheetName val="ค่างานต้นทุน"/>
      <sheetName val="Factor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ข้อมูลคำนวณ1"/>
      <sheetName val="Multi_Box 1"/>
      <sheetName val="ค่าเสื่อมราคา"/>
      <sheetName val="ข้อมูลสะพาน1"/>
      <sheetName val="ขนส่งวัสดุใช้"/>
      <sheetName val="ข้อมูลโครงการ"/>
      <sheetName val="กรอกราคาวัสดุที่แหล่ง"/>
      <sheetName val="F(ของเรา)"/>
      <sheetName val="41.EXCAV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Form1"/>
      <sheetName val="Form2"/>
      <sheetName val="กรอกราคาวัสดุที่แหล่ง"/>
      <sheetName val="ค่างานต้นทุน"/>
      <sheetName val="O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"/>
      <sheetName val="XXXXX"/>
      <sheetName val="10000"/>
      <sheetName val="เมนู"/>
      <sheetName val="ข้อมูลเริ่มต้น"/>
      <sheetName val="ปร.ม3เส้นไหนไม่รู้"/>
      <sheetName val="ข้อมูลวัสดุ และค่าดำเนินการ"/>
      <sheetName val="ค่างานต้นทุนต่อหน่วย"/>
      <sheetName val="สรุปโครงสร้างทาง ช่วง 1"/>
      <sheetName val="สรุปโครงสร้างทาง ช่วง 2"/>
      <sheetName val="สรุปโครงสร้างทาง ช่วง 3"/>
      <sheetName val="สรุปโครงสร้างทาง ช่วง 4"/>
      <sheetName val="ดินตัด , ดินถม+ถางป่า ช่วง 1"/>
      <sheetName val="ดินตัด , ดินถม+ถางป่า ช่วง 2"/>
      <sheetName val="ดินตัด , ดินถม+ถางป่า ช่วง 3"/>
      <sheetName val="ดินตัด , ดินถม+ถางป่า ช่วง 4"/>
      <sheetName val="สรุปผลการคำนวณ"/>
      <sheetName val="แบบสรุปราคาแอสฟัลต์"/>
      <sheetName val="แบบสรุปราคา คสล."/>
      <sheetName val="แบบสรุปราคาลุกรัง บดอัด "/>
      <sheetName val="แบบสรุปราคาลุกรัง ปรับเกลี่ย"/>
      <sheetName val="ดำเนินการ + เสื่อมราคา"/>
      <sheetName val="ค่าดำเนินการ+ค่าเสื่อมราคา"/>
      <sheetName val="รวมoperate"/>
      <sheetName val="ขนส่ง 6 ล้อ"/>
      <sheetName val="ขนส่ง 10 ล้อ"/>
      <sheetName val="ขนส่ง 10 ล้อ+พ่วง"/>
      <sheetName val="6ล้อ"/>
      <sheetName val="10ล้อ"/>
      <sheetName val="10ล้อ+พ่วง"/>
      <sheetName val="ตารางขนส่ง 6 ล้อ"/>
      <sheetName val="ตารางขนส่ง 10 ล้อ"/>
      <sheetName val="ตารางขนส่ง 10 ล้อ + ลากพ่วง"/>
      <sheetName val="สูตร6ล้อ"/>
      <sheetName val="คำแนะนำ"/>
      <sheetName val="สูตร10ล้อ"/>
      <sheetName val="สูตร10ล้อพ่วง"/>
      <sheetName val="F_อาคาร"/>
      <sheetName val="F_ทาง"/>
      <sheetName val="F_ชลประทาน"/>
      <sheetName val="F_สะพานและท่อเหลี่ยม"/>
      <sheetName val="เปรียบเทียบราคาแอสฟัลต์"/>
      <sheetName val="หาพื้นที่หน้าตัดดินถม"/>
      <sheetName val="รายการคำนวณเทียบค่างานต้นทุน"/>
      <sheetName val="ปร.4 box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ตารางถอดแบบbox"/>
      <sheetName val="แบบ ท1-01"/>
      <sheetName val="แบบกำแพงปากท่อ"/>
      <sheetName val="แบบบ่อพัก 0.30"/>
      <sheetName val="แบบบ่อพัก 0.40"/>
      <sheetName val="แบบบ่อพัก 0.60"/>
      <sheetName val="แบบบล็อก"/>
      <sheetName val="หาราคาดิน + ลูกรัง"/>
      <sheetName val="ปร.5 แอสฟัลต์"/>
      <sheetName val="ปร.5 คสล."/>
      <sheetName val="ปร.5 ลูกรังบดอัด"/>
      <sheetName val="ปร.5 ลูกรังปรับเกลี่ย"/>
      <sheetName val="ราคาหินผสมแอสฟัลต์"/>
      <sheetName val="12 ข้อมูลงานไม้แบบ"/>
      <sheetName val="11 ข้อมูลงานCon"/>
      <sheetName val="10 ข้อมูลวัสดุ-ค่าดำเนิน"/>
      <sheetName val="F(ของเรา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ตารางกรอกข้อมูล"/>
      <sheetName val="ตารางปริมาณงาน"/>
      <sheetName val="ตารางค่าวัสดุ"/>
      <sheetName val="ตารางคสล"/>
      <sheetName val="tbUsers"/>
      <sheetName val="ตารางงานต้นทุน"/>
      <sheetName val="BOQงานทาง"/>
      <sheetName val="10.ม.12คสล.ไปห้วยน้ำเค็ม"/>
      <sheetName val="5.ปร4หนองไผ่โนนหัวเชียง1810"/>
      <sheetName val="Sheet1"/>
      <sheetName val="รวมตารางขนส่ง"/>
      <sheetName val="รวมค่าเสื่อมราคา+ค่าดำเนินการ"/>
      <sheetName val="ตารางค่าดำเนินการ"/>
      <sheetName val="FACTOR F"/>
      <sheetName val="BOQ"/>
      <sheetName val="6 ล้อ 20"/>
      <sheetName val="6 ล้อ 21"/>
      <sheetName val="6 ล้อ 22"/>
      <sheetName val="6 ล้อ 23"/>
      <sheetName val="6 ล้อ 24"/>
      <sheetName val="6 ล้อ 25"/>
      <sheetName val="6 ล้อ 26"/>
      <sheetName val="6 ล้อ 27"/>
      <sheetName val="6 ล้อ 28"/>
      <sheetName val="6 ล้อ 29"/>
      <sheetName val="6 ล้อ 30"/>
      <sheetName val="6 ล้อ 31"/>
      <sheetName val="6 ล้อ 32"/>
      <sheetName val="6 ล้อ 33"/>
      <sheetName val="6 ล้อ 34"/>
      <sheetName val="6 ล้อ 35"/>
      <sheetName val="6 ล้อ 36"/>
      <sheetName val="6 ล้อ 37"/>
      <sheetName val="6 ล้อ 38"/>
      <sheetName val="6 ล้อ 39"/>
      <sheetName val="6 ล้อ 40"/>
      <sheetName val="6 ล้อ 41"/>
      <sheetName val="6 ล้อ 42"/>
      <sheetName val="6 ล้อ 43"/>
      <sheetName val="6 ล้อ 44"/>
      <sheetName val="6 ล้อ 45"/>
      <sheetName val="10 ล้อ 20"/>
      <sheetName val="10 ล้อ 21"/>
      <sheetName val="10 ล้อ 22"/>
      <sheetName val="10 ล้อ 23"/>
      <sheetName val="10 ล้อ 24"/>
      <sheetName val="10 ล้อ 25"/>
      <sheetName val="10 ล้อ 26"/>
      <sheetName val="10 ล้อ 27"/>
      <sheetName val="10 ล้อ 28"/>
      <sheetName val="10 ล้อ 29"/>
      <sheetName val="10 ล้อ 30"/>
      <sheetName val="10 ล้อ 31"/>
      <sheetName val="10 ล้อ 32"/>
      <sheetName val="10 ล้อ 33"/>
      <sheetName val="10 ล้อ 34"/>
      <sheetName val="10 ล้อ 35"/>
      <sheetName val="10 ล้อ 36"/>
      <sheetName val="10 ล้อ 37"/>
      <sheetName val="10 ล้อ 38"/>
      <sheetName val="10 ล้อ 39"/>
      <sheetName val="10 ล้อ 40"/>
      <sheetName val="10 ล้อ 41"/>
      <sheetName val="10 ล้อ 42"/>
      <sheetName val="10 ล้อ 43"/>
      <sheetName val="10 ล้อ 44"/>
      <sheetName val="10 ล้อ 45"/>
      <sheetName val="10ล้อพ่วง 20"/>
      <sheetName val="10ล้อพ่วง 21"/>
      <sheetName val="10ล้อพ่วง 22"/>
      <sheetName val="10ล้อพ่วง 23"/>
      <sheetName val="10ล้อพ่วง 24"/>
      <sheetName val="10ล้อพ่วง 25"/>
      <sheetName val="10ล้อพ่วง 26"/>
      <sheetName val="10ล้อพ่วง 27"/>
      <sheetName val="10ล้อพ่วง 28"/>
      <sheetName val="10ล้อพ่วง 29"/>
      <sheetName val="10ล้อพ่วง 30"/>
      <sheetName val="10ล้อพ่วง 31"/>
      <sheetName val="10ล้อพ่วง 32"/>
      <sheetName val="10ล้อพ่วง 33"/>
      <sheetName val="10ล้อพ่วง 34"/>
      <sheetName val="10ล้อพ่วง 35"/>
      <sheetName val="10ล้อพ่วง 36"/>
      <sheetName val="10ล้อพ่วง 37"/>
      <sheetName val="10ล้อพ่วง 38"/>
      <sheetName val="10ล้อพ่วง 39"/>
      <sheetName val="10ล้อพ่วง 40"/>
      <sheetName val="10ล้อพ่วง 41"/>
      <sheetName val="10ล้อพ่วง 42"/>
      <sheetName val="10ล้อพ่วง 43"/>
      <sheetName val="10ล้อพ่วง 44"/>
      <sheetName val="10ล้อพ่วง 45"/>
      <sheetName val="ค่าดำเนินการ20"/>
      <sheetName val="ค่าดำเนินการ21"/>
      <sheetName val="ค่าดำเนินการ22"/>
      <sheetName val="ค่าดำเนินการ23"/>
      <sheetName val="ค่าดำเนินการ24"/>
      <sheetName val="ค่าดำเนินการ25"/>
      <sheetName val="ค่าดำเนินการ26"/>
      <sheetName val="ค่าดำเนินการ27"/>
      <sheetName val="ค่าดำเนินการ28"/>
      <sheetName val="ค่าดำเนินการ29"/>
      <sheetName val="ค่าดำเนินการ30"/>
      <sheetName val="ค่าดำเนินการ31"/>
      <sheetName val="ค่าดำเนินการ32"/>
      <sheetName val="ค่าดำเนินการ33"/>
      <sheetName val="ค่าดำเนินการ34"/>
      <sheetName val="ค่าดำเนินการ35"/>
      <sheetName val="ค่าดำเนินการ36"/>
      <sheetName val="ค่าดำเนินการ37"/>
      <sheetName val="ค่าดำเนินการ38"/>
      <sheetName val="ค่าดำเนินการ39"/>
      <sheetName val="ค่าดำเนินการ40"/>
      <sheetName val="ค่าดำเนินการ41"/>
      <sheetName val="ค่าดำเนินการ42"/>
      <sheetName val="ค่าดำเนินการ43"/>
      <sheetName val="ค่าดำเนินการ44"/>
      <sheetName val="ค่าดำเนินการ45"/>
      <sheetName val="ข้อมูลโครงการ"/>
      <sheetName val="ส่วนใส่ปริมาณงาน"/>
      <sheetName val="ส่วนคำนวณ1"/>
      <sheetName val="1.ตารางปริมาณงาน"/>
      <sheetName val="12 ข้อมูลงานไม้แบบ"/>
      <sheetName val="Cost Estimate"/>
      <sheetName val="ข้อมูลงานคอนกรีต"/>
      <sheetName val="ราคาวัสดุที่แหล่ง+ระยะขนส่ง"/>
      <sheetName val="ข้อมูลโครงการ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menu"/>
      <sheetName val="เมนูประมาณราคา"/>
      <sheetName val="เมนูรายงาน"/>
      <sheetName val="รายละเอียด"/>
      <sheetName val="พิมพ์เอกสาร"/>
      <sheetName val="รถ 10 ล้อ"/>
      <sheetName val="รถ 10 + ลากพ่วง"/>
      <sheetName val="ค่าขนส่ง"/>
      <sheetName val="เลือกงานที่จะคำนวณ"/>
      <sheetName val="ปร.4 "/>
      <sheetName val="ปร.5"/>
      <sheetName val="DATA"/>
      <sheetName val="ข้อมูลโครงการ"/>
      <sheetName val="ข้อมูลโครงการ (2)"/>
      <sheetName val="Factor F"/>
      <sheetName val="ข้อมูลวัสดุ"/>
      <sheetName val="ตัวแปรสภาพผิวทาง"/>
      <sheetName val="ราคาวัสดุที่แหล่ง+ระยะขนส่ง"/>
      <sheetName val="ค่าเสื่อมราคาพิมพ์"/>
      <sheetName val="ราคาต่อหน่วยผู้รับจ้าง"/>
      <sheetName val="BOQ_ทาง"/>
      <sheetName val="BOQ_อาคาร"/>
      <sheetName val="รายการคำนวณปริมาณงาน"/>
      <sheetName val="สรุปข้อมูลวัสดุและค่าดำเนินการ"/>
      <sheetName val="ระยะทางและค่าขนส่งวัสดุ"/>
      <sheetName val="เปรียบเทียบวัสดุ"/>
      <sheetName val="ข้อมูลงานคอนกรีต"/>
      <sheetName val="ค่าเสื่อมราคา"/>
      <sheetName val="ข้อมูลค่าแรงงาน"/>
      <sheetName val="Unit Cost"/>
      <sheetName val="ท่อ คสล."/>
      <sheetName val="ค่างานต้นทุน"/>
      <sheetName val="6ล้อ"/>
      <sheetName val="10ล้อ"/>
      <sheetName val="10ล้อ+พ่วง"/>
      <sheetName val="operate"/>
      <sheetName val="ข้อมูลoperate"/>
      <sheetName val="ข้อมูลแบบและปริมาณงาน"/>
      <sheetName val="Cost Estimate"/>
      <sheetName val="Dialog1"/>
      <sheetName val="บันทึก"/>
      <sheetName val="ปก"/>
      <sheetName val="BOQ_ทาง (2)"/>
      <sheetName val="ปร.4 เสนอราคา"/>
      <sheetName val="ปร.5 เสนอราคา"/>
      <sheetName val="ข้อมูล"/>
      <sheetName val="บันทึกข้อความ"/>
      <sheetName val="ประจำวัน"/>
      <sheetName val="ประจำสัปดาห์"/>
      <sheetName val="คิดค่ากำแพงปากท่อ"/>
      <sheetName val="F(ของเรา)"/>
      <sheetName val="ตารางปริมาณงาน"/>
      <sheetName val="ค่างานต้นทุนต่อหน่วย"/>
      <sheetName val="ค่าขนส่งด้วยรถพ่วง"/>
      <sheetName val="ค่าขนส่งด้วยหกล้อ"/>
      <sheetName val="ข้อมูลขนส่ง"/>
      <sheetName val="รายการประมาณราคาต่อหน่วย"/>
      <sheetName val="หกล้อขนส่ง"/>
      <sheetName val="ข้อมูลภูมิอากาศ ข้อมูลขนส่ง"/>
      <sheetName val="ค่าเสื่อมราคา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Form1"/>
      <sheetName val="Form3"/>
      <sheetName val="ได้ราคาคอนกรีต-เหล็กเสริม"/>
      <sheetName val="ได้งานตีเส้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โครงการ"/>
      <sheetName val="ข้อมูลภูมิอากาศ ข้อมูลขนส่ง"/>
      <sheetName val="ค่าเสื่อมราคา"/>
      <sheetName val="ราคาวัสดุ"/>
      <sheetName val="ค่าเสื่อมราคา "/>
      <sheetName val="มาตราฐานค่าใช้จ่ายเครื่องจักรกล"/>
      <sheetName val="ปร.5"/>
      <sheetName val="ปร.4"/>
      <sheetName val="รายการประมาณราคาต่อหน่วย"/>
      <sheetName val="สรุป-BU"/>
      <sheetName val="BU"/>
      <sheetName val="ดินตัด-ถม"/>
      <sheetName val="Factor_FR"/>
      <sheetName val="Factor_FB"/>
      <sheetName val="หกล้อขนส่ง"/>
      <sheetName val="สิบล้อขนส่ง"/>
      <sheetName val="รถพ่วงขนส่ง"/>
      <sheetName val="ปร.4 ตามแบบกรมการปกครอง "/>
      <sheetName val="ปร.5 ตามแบบกรมการปกครอง "/>
      <sheetName val="ปกทต กรมการปกครอง"/>
      <sheetName val="ข้อมูลประกอบการประมาณราคา กรมกา"/>
      <sheetName val="ใบเสนอราคา กรมการปกครอง"/>
      <sheetName val="ปร.4 กรมโยธาธิการเดิม"/>
      <sheetName val="ปร.5 ตามแบบกรมโยธาธิการเดิม"/>
      <sheetName val="ปร.4 ทางหลวงชนบท"/>
      <sheetName val="ปร.5 ตามแบบทางหลวงชนบท"/>
      <sheetName val="ข้อมูลประกอบการประมาณราคา"/>
      <sheetName val="ปกทต"/>
      <sheetName val="ใบเสนอราคา"/>
      <sheetName val="ข้อมูลโครงสร้างทาง"/>
      <sheetName val="เลือกชนิดวัสดุมวลรวม"/>
      <sheetName val="เลือกวิธีหาราคาต้นทุน CS"/>
      <sheetName val="ประเภทงาน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Sheet1"/>
      <sheetName val="11 ข้อมูลงานCon"/>
      <sheetName val="10 ข้อมูลวัสดุ-ค่าดำเนิน"/>
      <sheetName val="12 ข้อมูลงานไม้แบบ"/>
      <sheetName val="ส่วนใส่ปริมาณงาน"/>
      <sheetName val="ส่วนคำนวณ1"/>
      <sheetName val="Cost Estimate"/>
      <sheetName val="ข้อมูลงานคอนกรีต"/>
      <sheetName val="ราคาวัสดุที่แหล่ง+ระยะขนส่ง"/>
      <sheetName val="ข้อมูลโครงการ (2)"/>
      <sheetName val="ค่าเสื่อมราคาและค่าขนส่ง"/>
      <sheetName val="แหล่งวัสดุ"/>
      <sheetName val="F(ของเรา)"/>
      <sheetName val="4.ค่าขนส่งดำเนินการเสื่อมราค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&amp;พิกัดGPS"/>
      <sheetName val="ข้อมูลโครงการ"/>
      <sheetName val="ขนส่งวัสดุใช้"/>
      <sheetName val="FACTORF"/>
      <sheetName val="ค่าเสื่อมราคา"/>
      <sheetName val="ข้อมูลโครงสร้างทาง"/>
      <sheetName val="ข้อมูลสะพาน1"/>
      <sheetName val="ปร.5ทช"/>
      <sheetName val="ปร.4_1"/>
      <sheetName val="SingleBox 1"/>
      <sheetName val="SingleBox 2"/>
      <sheetName val="ปร.4_2"/>
      <sheetName val="Multi_Box 1"/>
      <sheetName val="Multi_Box 2"/>
      <sheetName val="แหล่งวัสดุ"/>
      <sheetName val="ราคาต่อหน่วย"/>
      <sheetName val="แบบสรุปราคา คสล."/>
      <sheetName val="BOQ"/>
      <sheetName val="ราคาต่อหน่วย คสล."/>
      <sheetName val="ตารางถอดแบบHWและรางน้ำ"/>
      <sheetName val="ตัวแปรสภาพผิวทางและค่าAC"/>
      <sheetName val="ข้อมูลคำนวณ1"/>
      <sheetName val="approach"/>
      <sheetName val="ราคาต่อหน่วยสะพานท่อเหลี่ยม"/>
      <sheetName val="ป้ายจราจร"/>
      <sheetName val="ข้อมูล_Box"/>
      <sheetName val="งานดิน"/>
      <sheetName val="Benching"/>
      <sheetName val="งานท่อกลม"/>
      <sheetName val="งานจราจร"/>
      <sheetName val="ทางเชื่อม"/>
      <sheetName val="Widening"/>
      <sheetName val="เส้นจราจร"/>
      <sheetName val="หลักเกณฑ์คำนวณวันและงวดงาน"/>
      <sheetName val="F(ของเรา)"/>
      <sheetName val="Cost Estimate"/>
      <sheetName val="ข้อมูลงานคอนกรีต"/>
      <sheetName val="ราคาวัสดุที่แหล่ง+ระยะขนส่ง"/>
      <sheetName val="ข้อมูลโครงการ (2)"/>
      <sheetName val="11 ข้อมูลงานCon"/>
      <sheetName val="10 ข้อมูลวัสดุ-ค่าดำเนิน"/>
      <sheetName val="12 ข้อมูลงานไม้แบ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&amp;พิกัดGPS"/>
      <sheetName val="ข้อมูลโครงการ"/>
      <sheetName val="ขนส่งวัสดุใช้"/>
      <sheetName val="FACTORF"/>
      <sheetName val="ค่าเสื่อมราคา"/>
      <sheetName val="ข้อมูลโครงสร้างทาง"/>
      <sheetName val="ข้อมูลสะพาน1"/>
      <sheetName val="ปร.5ทช"/>
      <sheetName val="ปร.4_1"/>
      <sheetName val="SingleBox 1"/>
      <sheetName val="SingleBox 2"/>
      <sheetName val="ปร.4_2"/>
      <sheetName val="Multi_Box 1"/>
      <sheetName val="Multi_Box 2"/>
      <sheetName val="แหล่งวัสดุ"/>
      <sheetName val="ราคาต่อหน่วย"/>
      <sheetName val="แบบสรุปราคา คสล."/>
      <sheetName val="BOQ"/>
      <sheetName val="ราคาต่อหน่วย คสล."/>
      <sheetName val="ตารางถอดแบบHWและรางน้ำ"/>
      <sheetName val="ตัวแปรสภาพผิวทางและค่าAC"/>
      <sheetName val="ข้อมูลคำนวณ1"/>
      <sheetName val="approach"/>
      <sheetName val="ราคาต่อหน่วยสะพานท่อเหลี่ยม"/>
      <sheetName val="ป้ายจราจร"/>
      <sheetName val="ข้อมูล_Box"/>
      <sheetName val="งานดิน"/>
      <sheetName val="Benching"/>
      <sheetName val="งานท่อกลม"/>
      <sheetName val="งานจราจร"/>
      <sheetName val="ทางเชื่อม"/>
      <sheetName val="Widening"/>
      <sheetName val="เส้นจราจร"/>
      <sheetName val="หลักเกณฑ์คำนวณวันและงวดงาน"/>
      <sheetName val="Cost Estimate"/>
      <sheetName val="ข้อมูลงานคอนกรีต"/>
      <sheetName val="ราคาวัสดุที่แหล่ง+ระยะขนส่ง"/>
      <sheetName val="ข้อมูลโครงการ (2)"/>
      <sheetName val="F(ของเรา)"/>
      <sheetName val="สรุปข้อมูลประมาณราคา"/>
      <sheetName val="หมวดโครงสร้าง"/>
      <sheetName val="ไฟฟ้า"/>
      <sheetName val="ค่างานต้นทุน"/>
      <sheetName val="ค่าขนส่งด้วยรถพ่วง"/>
      <sheetName val="ค่าขนส่ง"/>
      <sheetName val="ค่าขนส่งด้วยหกล้อ"/>
      <sheetName val="ข้อมูลขนส่ง"/>
      <sheetName val="11 ข้อมูลงานCon"/>
      <sheetName val="10 ข้อมูลวัสดุ-ค่าดำเนิน"/>
      <sheetName val="12 ข้อมูลงานไม้แบ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ก"/>
      <sheetName val="ข้อมูลโครงการ"/>
      <sheetName val="ค่าขนส่ง6ล้อ"/>
      <sheetName val="ปร.5"/>
      <sheetName val="ปร4งานทาง"/>
      <sheetName val="Sheet5"/>
      <sheetName val="ไฟฟ้า"/>
      <sheetName val="รื้อผิว"/>
      <sheetName val="สรุปค่างาน"/>
      <sheetName val="Rec"/>
      <sheetName val="ปร4งานสะพาน"/>
      <sheetName val="ตารางเปรียบเทียบค"/>
      <sheetName val="ปร4งานท่อลอดเหลี่ยม"/>
      <sheetName val="ค่าขนส่ง10ล้อ"/>
      <sheetName val="ค่าขนส่งพ่วง"/>
      <sheetName val="ราคาป้ายจราจร"/>
      <sheetName val="สรุปข้อมูลประมาณราคา"/>
      <sheetName val="ราคาพานิช กทม"/>
      <sheetName val="ราคาพานิชระยอง"/>
      <sheetName val="หมวดงานทาง"/>
      <sheetName val="หมวดโครงสร้าง"/>
      <sheetName val="หมวดเบ็ดเตล็ด"/>
      <sheetName val="Sum_Data"/>
      <sheetName val="Pipe_Data"/>
      <sheetName val="Earth_Data"/>
      <sheetName val="Wid_Data"/>
      <sheetName val="Access_Data"/>
      <sheetName val="Sign_Data"/>
      <sheetName val="ข้อมูลประมาณราคา"/>
      <sheetName val="ค่าเสื่อมราคา"/>
      <sheetName val="Module3"/>
      <sheetName val="FactorF"/>
      <sheetName val="Sheet4"/>
      <sheetName val="11 ข้อมูลงานCon"/>
      <sheetName val="10 ข้อมูลวัสดุ-ค่าดำเนิน"/>
      <sheetName val="12 ข้อมูลงานไม้แบบ"/>
      <sheetName val="ข้อมูลคำนวณ1"/>
      <sheetName val="Multi_Box 1"/>
      <sheetName val="ข้อมูลสะพาน1"/>
      <sheetName val="ขนส่งวัสดุใช้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ก"/>
      <sheetName val="ข้อมูลโครงการ"/>
      <sheetName val="ค่าขนส่ง6ล้อ"/>
      <sheetName val="ปร.5"/>
      <sheetName val="ปร4งานทาง"/>
      <sheetName val="Sheet5"/>
      <sheetName val="ไฟฟ้า"/>
      <sheetName val="รื้อผิว"/>
      <sheetName val="สรุปค่างาน"/>
      <sheetName val="Rec"/>
      <sheetName val="ปร4งานสะพาน"/>
      <sheetName val="ตารางเปรียบเทียบค"/>
      <sheetName val="ปร4งานท่อลอดเหลี่ยม"/>
      <sheetName val="ค่าขนส่ง10ล้อ"/>
      <sheetName val="ค่าขนส่งพ่วง"/>
      <sheetName val="ราคาป้ายจราจร"/>
      <sheetName val="สรุปข้อมูลประมาณราคา"/>
      <sheetName val="ราคาพานิช กทม"/>
      <sheetName val="ราคาพานิชระยอง"/>
      <sheetName val="หมวดงานทาง"/>
      <sheetName val="หมวดโครงสร้าง"/>
      <sheetName val="หมวดเบ็ดเตล็ด"/>
      <sheetName val="Sum_Data"/>
      <sheetName val="Pipe_Data"/>
      <sheetName val="Earth_Data"/>
      <sheetName val="Wid_Data"/>
      <sheetName val="Access_Data"/>
      <sheetName val="Sign_Data"/>
      <sheetName val="ข้อมูลประมาณราคา"/>
      <sheetName val="ค่าเสื่อมราคา"/>
      <sheetName val="Module3"/>
      <sheetName val="FactorF"/>
      <sheetName val="Sheet4"/>
      <sheetName val="ข้อมูลคำนวณ1"/>
      <sheetName val="Multi_Box 1"/>
      <sheetName val="ข้อมูลสะพาน1"/>
      <sheetName val="ขนส่งวัสดุใช้"/>
      <sheetName val="11 ข้อมูลงานCon"/>
      <sheetName val="10 ข้อมูลวัสดุ-ค่าดำเนิน"/>
      <sheetName val="12 ข้อมูลงานไม้แบบ"/>
      <sheetName val="Form1"/>
      <sheetName val="Form2"/>
      <sheetName val="ต้นทุนcon,steel&amp;แบบ"/>
      <sheetName val="ข้อมูล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รายการประมาณราคาต่อหน่ว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สรุป"/>
      <sheetName val="bq"/>
      <sheetName val="ต้นทุนสะพาน"/>
      <sheetName val="ตารางค่างานสะพาน"/>
      <sheetName val="30"/>
      <sheetName val="ไม้แบบ"/>
      <sheetName val="20"/>
      <sheetName val="Sheet1"/>
      <sheetName val="select"/>
      <sheetName val="26"/>
      <sheetName val="แหล่งวัสดุ"/>
      <sheetName val="box"/>
      <sheetName val="ค่าดำเนินการ"/>
      <sheetName val="สิบล้อ"/>
      <sheetName val="ลากพ่วง"/>
      <sheetName val="froad"/>
      <sheetName val="fbride"/>
      <sheetName val="ป้ายชุดทางเชื่อม"/>
      <sheetName val="Cal Fto"/>
      <sheetName val="FactorF"/>
      <sheetName val="Form1"/>
      <sheetName val="Form2"/>
      <sheetName val="12 ข้อมูลงานไม้แบบ"/>
      <sheetName val="10 ข้อมูลวัสดุ-ค่าดำเนิน"/>
      <sheetName val="11 ข้อมูลงานC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ต้นทุนcon,steel&amp;แบบ"/>
      <sheetName val="ข้อมูล"/>
      <sheetName val="สรุปข้อมูลประมาณราคา"/>
      <sheetName val="หมวดโครงสร้าง"/>
      <sheetName val="ไฟฟ้า"/>
      <sheetName val="ข้อมูลโครงการ"/>
      <sheetName val="11 ข้อมูลงานCon"/>
      <sheetName val="10 ข้อมูลวัสดุ-ค่าดำเนิน"/>
      <sheetName val="12 ข้อมูลงานไม้แบบ"/>
      <sheetName val="ค่าขนส่งและเสื่อมราค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11 ข้อมูลงานCon"/>
      <sheetName val="10 ข้อมูลวัสดุ-ค่าดำเนิน"/>
      <sheetName val="12 ข้อมูลงานไม้แบ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menu"/>
      <sheetName val="เมนูประมาณราคา"/>
      <sheetName val="เมนูรายงาน"/>
      <sheetName val="รายละเอียด"/>
      <sheetName val="พิมพ์เอกสาร"/>
      <sheetName val="รถ 10 ล้อ"/>
      <sheetName val="รถ 10 + ลากพ่วง"/>
      <sheetName val="ค่าขนส่ง"/>
      <sheetName val="เลือกงานที่จะคำนวณ"/>
      <sheetName val="ปร.4 "/>
      <sheetName val="ปร.5"/>
      <sheetName val="DATA"/>
      <sheetName val="ข้อมูลโครงการ"/>
      <sheetName val="ข้อมูลโครงการ (2)"/>
      <sheetName val="Factor F"/>
      <sheetName val="ข้อมูลวัสดุ"/>
      <sheetName val="ตัวแปรสภาพผิวทาง"/>
      <sheetName val="ราคาวัสดุที่แหล่ง+ระยะขนส่ง"/>
      <sheetName val="ค่าเสื่อมราคาพิมพ์"/>
      <sheetName val="ราคาต่อหน่วยผู้รับจ้าง"/>
      <sheetName val="BOQ_ทาง"/>
      <sheetName val="BOQ_อาคาร"/>
      <sheetName val="รายการคำนวณปริมาณงาน"/>
      <sheetName val="สรุปข้อมูลวัสดุและค่าดำเนินการ"/>
      <sheetName val="ระยะทางและค่าขนส่งวัสดุ"/>
      <sheetName val="เปรียบเทียบวัสดุ"/>
      <sheetName val="ข้อมูลงานคอนกรีต"/>
      <sheetName val="ค่าเสื่อมราคา"/>
      <sheetName val="ข้อมูลค่าแรงงาน"/>
      <sheetName val="Unit Cost"/>
      <sheetName val="ท่อ คสล."/>
      <sheetName val="ค่างานต้นทุน"/>
      <sheetName val="6ล้อ"/>
      <sheetName val="10ล้อ"/>
      <sheetName val="10ล้อ+พ่วง"/>
      <sheetName val="operate"/>
      <sheetName val="ข้อมูลoperate"/>
      <sheetName val="ข้อมูลแบบและปริมาณงาน"/>
      <sheetName val="Cost Estimate"/>
      <sheetName val="Dialog1"/>
      <sheetName val="บันทึก"/>
      <sheetName val="ปก"/>
      <sheetName val="BOQ_ทาง (2)"/>
      <sheetName val="ปร.4 เสนอราคา"/>
      <sheetName val="ปร.5 เสนอราคา"/>
      <sheetName val="ข้อมูล"/>
      <sheetName val="บันทึกข้อความ"/>
      <sheetName val="ประจำวัน"/>
      <sheetName val="ประจำสัปดาห์"/>
      <sheetName val="คิดค่ากำแพงปากท่อ"/>
      <sheetName val="ค่างานต้นทุนต่อหน่วย"/>
      <sheetName val="F(ของเรา)"/>
      <sheetName val="ข้อมูลคำนวณ1"/>
      <sheetName val="Multi_Box 1"/>
      <sheetName val="ข้อมูลสะพาน1"/>
      <sheetName val="ขนส่งวัสดุใช้"/>
      <sheetName val="11 ข้อมูลงานCon"/>
      <sheetName val="10 ข้อมูลวัสดุ-ค่าดำเนิน"/>
      <sheetName val="12 ข้อมูลงานไม้แบบ"/>
      <sheetName val="หกล้อขนส่ง"/>
      <sheetName val="ข้อมูลภูมิอากาศ ข้อมูลขนส่ง"/>
      <sheetName val="ค่าเสื่อมราคา "/>
      <sheetName val="แหล่งวัสด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  <sheetName val="แหล่งวัสดุ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ข้อมูลคำนวณ1"/>
      <sheetName val="Multi_Box 1"/>
      <sheetName val="ค่าเสื่อมราคา"/>
      <sheetName val="ข้อมูลสะพาน1"/>
      <sheetName val="ข้อมูลโครงการ"/>
      <sheetName val="ขนส่งวัสดุใช้"/>
      <sheetName val="หกล้อขนส่ง"/>
      <sheetName val="ข้อมูลภูมิอากาศ ข้อมูลขนส่ง"/>
      <sheetName val="ค่าเสื่อมราคา "/>
      <sheetName val="Cost Estimate"/>
      <sheetName val="ข้อมูลงานคอนกรีต"/>
      <sheetName val="ราคาวัสดุที่แหล่ง+ระยะขนส่ง"/>
      <sheetName val="ข้อมูลโครงการ (2)"/>
      <sheetName val="4.ค่าขนส่งดำเนินการเสื่อมราคา"/>
      <sheetName val="ค่าเสื่อมราคาและค่าขนส่ง"/>
      <sheetName val="ส่วนใส่ปริมาณงาน"/>
      <sheetName val="ส่วนคำนวณ1"/>
      <sheetName val="10 ข้อมูลวัสดุ-ค่าดำเนิน"/>
      <sheetName val="รายการประมาณราคาต่อหน่วย"/>
      <sheetName val="11.ค่าเสื่อมราคาและค่าขนส่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  <sheetName val="0.00-3.00"/>
      <sheetName val="วัสดุAPPROACH1"/>
      <sheetName val="วัสดุAPPROACH2"/>
      <sheetName val="HWBOX"/>
      <sheetName val="วัสดุในเสาเข็มsay"/>
      <sheetName val="วัสดุตอม่อตับริมกว้าง9ม_1"/>
      <sheetName val="2_สรุปปริมาณวสดุSLOPE PROT."/>
      <sheetName val="1.5_สรุปปริมาณวัสดุSLOPE PROT."/>
      <sheetName val="วัสดุตอม่อตับกลางที่1"/>
      <sheetName val="ค่าขนส่ง10ล้อลากพ่วง"/>
      <sheetName val="ค่าดำเนินการและค่าเสื่อมราคา"/>
      <sheetName val="ค่าขนส่งและเสื่อมราคา"/>
      <sheetName val="แหล่งวัสดุ"/>
      <sheetName val="Sheet1"/>
      <sheetName val="11 ข้อมูลงานCon"/>
      <sheetName val="12 ข้อมูลงานไม้แบ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ัญญา3"/>
      <sheetName val="ปตร"/>
      <sheetName val="Fto"/>
      <sheetName val="Fto2"/>
      <sheetName val="Fto3"/>
      <sheetName val="Cal Fto"/>
      <sheetName val="output"/>
      <sheetName val="output2"/>
      <sheetName val="output3"/>
      <sheetName val="install"/>
      <sheetName val="fto สัญญา3"/>
      <sheetName val="แหล่งวัสดุ"/>
      <sheetName val="Sheet1"/>
      <sheetName val="11 ข้อมูลงานCon"/>
      <sheetName val="10 ข้อมูลวัสดุ-ค่าดำเนิน"/>
      <sheetName val="12 ข้อมูลงานไม้แบบ"/>
      <sheetName val="ค่าขนส่งและเสื่อมราคา"/>
      <sheetName val="Form1"/>
      <sheetName val="Form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  <sheetName val="Cal Fto"/>
      <sheetName val="แหล่งวัสดุ"/>
      <sheetName val="41.EXCAVATION"/>
      <sheetName val="FactorF"/>
      <sheetName val="10 ข้อมูลวัสดุ-ค่าดำเนิน"/>
      <sheetName val="ค่างานต้นทุ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Cal Fto"/>
      <sheetName val="แหล่งวัสดุ"/>
      <sheetName val="FactorF"/>
      <sheetName val="10 ข้อมูลวัสดุ-ค่าดำเนิน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  <sheetName val="Worksheet"/>
      <sheetName val="กรอกราคาวัสดุที่แหล่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F(ของเรา)"/>
      <sheetName val="รายการประมาณราคาต่อหน่วย"/>
      <sheetName val="ข้อมูลคำนวณ1"/>
      <sheetName val="Multi_Box 1"/>
      <sheetName val="ค่าเสื่อมราคา"/>
      <sheetName val="ข้อมูลสะพาน1"/>
      <sheetName val="ข้อมูลโครงการ"/>
      <sheetName val="ขนส่งวัสดุใช้"/>
      <sheetName val="แหล่งวัสดุ"/>
      <sheetName val="4.ค่าขนส่งดำเนินการเสื่อมราคา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หกล้อขนส่ง"/>
      <sheetName val="ข้อมูลภูมิอากาศ ข้อมูลขนส่ง"/>
      <sheetName val="ค่าเสื่อมราคา "/>
      <sheetName val="11.ค่าเสื่อมราคาและค่าขนส่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F(ของเรา)"/>
      <sheetName val="Oil"/>
      <sheetName val="41.EXCAVATION"/>
      <sheetName val="Factor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รวมตารางคำนวณ"/>
      <sheetName val="F(ของเรา)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41.EXCAVATION"/>
      <sheetName val="ค่างานต้นทุนต่อหน่ว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ส่วนใส่ปริมาณงาน"/>
      <sheetName val="ส่วนคำนวณ1"/>
      <sheetName val="สรุปข้อมูลประมาณราคา"/>
      <sheetName val="หมวดโครงสร้าง"/>
      <sheetName val="ไฟฟ้า"/>
      <sheetName val="ข้อมูลโครงการ"/>
      <sheetName val="F(ของเรา)"/>
      <sheetName val="ข้อมูลคำนวณ1"/>
      <sheetName val="Multi_Box 1"/>
      <sheetName val="ค่าเสื่อมราคา"/>
      <sheetName val="ข้อมูลสะพาน1"/>
      <sheetName val="ขนส่งวัสดุใช้"/>
      <sheetName val="11.ค่าเสื่อมราคาและค่าขนส่ง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รายการประมาณราคาต่อหน่วย"/>
      <sheetName val="ค่าขนส่งและเสื่อมราคา"/>
      <sheetName val="แหล่งวัสดุ"/>
      <sheetName val="หกล้อขนส่ง"/>
      <sheetName val="ข้อมูลภูมิอากาศ ข้อมูลขนส่ง"/>
      <sheetName val="ค่าเสื่อมราคา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bq"/>
      <sheetName val="รายการประมาณราคาต่อหน่วย"/>
      <sheetName val="ข้อมูลโครงการ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ข้อมูลคำนวณ1"/>
      <sheetName val="Multi_Box 1"/>
      <sheetName val="ค่าเสื่อมราคา"/>
      <sheetName val="ข้อมูลสะพาน1"/>
      <sheetName val="ขนส่งวัสดุใช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รายการประมาณราคาต่อหน่วย"/>
      <sheetName val="Worksheet"/>
      <sheetName val="ข้อมูลโครงการ"/>
      <sheetName val="สรุปข้อมูลประมาณราคา"/>
      <sheetName val="หมวดโครงสร้าง"/>
      <sheetName val="ไฟฟ้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  <sheetName val="0.00-3.00"/>
      <sheetName val="วัสดุAPPROACH1"/>
      <sheetName val="วัสดุAPPROACH2"/>
      <sheetName val="HWBOX"/>
      <sheetName val="วัสดุในเสาเข็มsay"/>
      <sheetName val="วัสดุตอม่อตับริมกว้าง9ม_1"/>
      <sheetName val="2_สรุปปริมาณวสดุSLOPE PROT."/>
      <sheetName val="1.5_สรุปปริมาณวัสดุSLOPE PROT."/>
      <sheetName val="วัสดุตอม่อตับกลางที่1"/>
      <sheetName val="ค่าขนส่ง10ล้อลากพ่วง"/>
      <sheetName val="ค่าดำเนินการและค่าเสื่อมราคา"/>
      <sheetName val="11 ข้อมูลงานCon"/>
      <sheetName val="12 ข้อมูลงานไม้แบบ"/>
      <sheetName val="ค่างานต้นทุ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2"/>
      <sheetName val="S3"/>
      <sheetName val="2.ข้อมูล"/>
      <sheetName val="ปร.4"/>
      <sheetName val="3.ปร4(25x50)จริง"/>
      <sheetName val="3.ปร4(48x70)จริง (2)"/>
      <sheetName val="ราคาพาณิชย์จังหวัดรางถนนคอนกรีต"/>
      <sheetName val="FactorF"/>
      <sheetName val="ปร.4 บ่อพักข้างวัด1.0 ม5 (2)"/>
      <sheetName val="ปร.4 บ่อพักข้างวัด1.0 ม5"/>
      <sheetName val="ปร4จริง(เดิม)"/>
      <sheetName val="ปร4จริง (2)"/>
      <sheetName val="ปร.5"/>
      <sheetName val="1.คำนวณพื้นที่ดำเนินการ"/>
      <sheetName val="งานตีเส้น"/>
      <sheetName val="งานป้ายโครงการ"/>
      <sheetName val="ค่าธรรมเนียมทดสอบวัสดุ"/>
      <sheetName val="ท่อ คสล."/>
      <sheetName val="ราคาประเมินที่ดิน"/>
      <sheetName val="job mix "/>
      <sheetName val="Sheet2"/>
      <sheetName val="11 ข้อมูลงานCon"/>
      <sheetName val="10 ข้อมูลวัสดุ-ค่าดำเนิน"/>
      <sheetName val="12 ข้อมูลงานไม้แบบ"/>
      <sheetName val="ข้อมูลโครงการ"/>
      <sheetName val="กรอกราคาวัสดุที่แหล่ง"/>
      <sheetName val="Cal F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2"/>
      <sheetName val="S3"/>
      <sheetName val="2.ข้อมูล"/>
      <sheetName val="ปร.4"/>
      <sheetName val="3.ปร4(25x50)จริง"/>
      <sheetName val="3.ปร4(48x70)จริง (2)"/>
      <sheetName val="ราคาพาณิชย์จังหวัดรางถนนคอนกรีต"/>
      <sheetName val="FactorF"/>
      <sheetName val="ปร.4 บ่อพักข้างวัด1.0 ม5 (2)"/>
      <sheetName val="ปร.4 บ่อพักข้างวัด1.0 ม5"/>
      <sheetName val="ปร4จริง(เดิม)"/>
      <sheetName val="ปร4จริง (2)"/>
      <sheetName val="ปร.5"/>
      <sheetName val="1.คำนวณพื้นที่ดำเนินการ"/>
      <sheetName val="งานตีเส้น"/>
      <sheetName val="งานป้ายโครงการ"/>
      <sheetName val="ค่าธรรมเนียมทดสอบวัสดุ"/>
      <sheetName val="ท่อ คสล."/>
      <sheetName val="ราคาประเมินที่ดิน"/>
      <sheetName val="job mix "/>
      <sheetName val="Sheet2"/>
      <sheetName val="11 ข้อมูลงานCon"/>
      <sheetName val="10 ข้อมูลวัสดุ-ค่าดำเนิน"/>
      <sheetName val="12 ข้อมูลงานไม้แบบ"/>
      <sheetName val="ส่วนใส่ปริมาณงาน"/>
      <sheetName val="ส่วนคำนวณ1"/>
      <sheetName val="Oil"/>
      <sheetName val="Worksheet"/>
      <sheetName val="แหล่งวัสด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  <sheetName val="FactorF"/>
      <sheetName val="กรอกราคาวัสดุที่แหล่ง"/>
      <sheetName val="F(ของเรา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หลักเกณฑ์(2หน้า)"/>
      <sheetName val="ต้นทุน(10หน้า)"/>
      <sheetName val="BOQ.(10 หน้า)"/>
      <sheetName val="ค่า F"/>
      <sheetName val="1ระยะขนส่ง"/>
      <sheetName val="2ข้อมูลเบื้องต้น"/>
      <sheetName val="3ข้อมูลวัสดุ-ค่าดำเนิน"/>
      <sheetName val="4ข้อมูลงานCon"/>
      <sheetName val="5ข้อมูลงานไม้แบบ"/>
      <sheetName val="6Remove+Clear"/>
      <sheetName val="7Cut+Soft.R+Hart.R+Uns"/>
      <sheetName val="8Unsui+Soft"/>
      <sheetName val="9EMB."/>
      <sheetName val="10Fil.Islandl+Side"/>
      <sheetName val="11P.B.Fill"/>
      <sheetName val="12Selec+Subbase"/>
      <sheetName val="13Base+Recyc+Scari"/>
      <sheetName val="14Prime+Tack"/>
      <sheetName val="15ASP.Lev."/>
      <sheetName val="16Asphaltic"/>
      <sheetName val="17สะพาน"/>
      <sheetName val="(ไม่เอา)ทางเบี่ยง"/>
      <sheetName val="18สะพาน.ราคารวม"/>
      <sheetName val="19คานอัดแรง"/>
      <sheetName val="20สะพานต่อ"/>
      <sheetName val="21สะพานต่อราคารวม"/>
      <sheetName val="22B.Appro"/>
      <sheetName val="23,24R.C.BOX (2ตัว)"/>
      <sheetName val="25-27RC. PIPE(3หน้า)"/>
      <sheetName val="28,29Slope.Pro+Shot(2หน้า)"/>
      <sheetName val="30Per.Pipe+R.Fill"/>
      <sheetName val="31,32Catch.Baแบบพิเศษ"/>
      <sheetName val="33R.C.Ditch"/>
      <sheetName val="34D.Lining"/>
      <sheetName val="35Retain"/>
      <sheetName val="36Crub"/>
      <sheetName val="37ทางเท้า"/>
      <sheetName val="38SODDING"/>
      <sheetName val="39,40Barr.(2หน้า)"/>
      <sheetName val="41G.POST"/>
      <sheetName val="42หลักกิโล"/>
      <sheetName val="43แผ่นป้าย+เสา"/>
      <sheetName val="44เสาไฟกิ่งคู่"/>
      <sheetName val="45ไฟนีออน"/>
      <sheetName val="46,47ย้ายเสาไฟ(2หน้า)"/>
      <sheetName val="48ไฟ เขียว-แดง"/>
      <sheetName val="49สีตีเส้น+R.Stu+C.Mak"/>
      <sheetName val="50C.mark+Barricade"/>
      <sheetName val="51BUS STOP"/>
      <sheetName val="52ป้ายชั่วคราว+ด่าน"/>
      <sheetName val="41.EXCAVATION"/>
      <sheetName val="FactorF"/>
      <sheetName val="11 ข้อมูลงานCon"/>
      <sheetName val="10 ข้อมูลวัสดุ-ค่าดำเนิน"/>
      <sheetName val="12 ข้อมูลงานไม้แบบ"/>
      <sheetName val="F(ของเรา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"/>
      <sheetName val="ข้อมูลโครงสร้างทาง"/>
      <sheetName val="ข้อมูลโครงการ"/>
      <sheetName val="ข้อมูลประกอบการประมาณราคา"/>
      <sheetName val="รายการประมาณราคาต่อหน่วย"/>
      <sheetName val="ขนาด,ปริมาณถนน"/>
      <sheetName val="ท่อระบายน้ำ"/>
      <sheetName val="ดาดคอนกรีตปากท่อ"/>
      <sheetName val="ป้าย บ-ต"/>
      <sheetName val="ปร.4"/>
      <sheetName val="ปร.5ทช"/>
      <sheetName val="ใบเสนอราคา"/>
      <sheetName val="ปกอบต"/>
      <sheetName val="เลือกชนิดวัสดุมวลรวม"/>
      <sheetName val="เลือกวิธีหาราคาต้นทุน CS"/>
      <sheetName val="ตัวแปรค่าดำเนินการปูลาดAC"/>
      <sheetName val="ปร.4 สะพาน"/>
      <sheetName val="ปร.4 box"/>
      <sheetName val="ตัวแปรสภาพผิวทาง"/>
      <sheetName val="ค่าขนส่ง"/>
      <sheetName val="ค่าขนส่งปูนเมนต์"/>
      <sheetName val="ค่าขนส่งทราย"/>
      <sheetName val="ค่าขนส่งหิน"/>
      <sheetName val="ค่าขนส่งกรวดโม่"/>
      <sheetName val="ค่าขนส่งยาง"/>
      <sheetName val="ค่าขนส่งหินผสมAC"/>
      <sheetName val="ค่าขนส่งHM"/>
      <sheetName val="ค่าขนส่งเครืองจักร 80"/>
      <sheetName val="ค่าขนส่งacในสายทาง"/>
      <sheetName val="ค่าขนส่งเหล็ก"/>
      <sheetName val="ค่าขนส่งเหล็กรูปพรรณ"/>
      <sheetName val="ค่าขนส่งไม้แบบ"/>
      <sheetName val="ค่าขนส่งดินถม"/>
      <sheetName val="ค่าขนส่งลูกรังและวัสดุคัดเลือก"/>
      <sheetName val="ค่าขนส่งดินทิ้ง"/>
      <sheetName val="ค่าขนส่งไม้โครงสร้าง"/>
      <sheetName val="ค่าขนส่งท่อลอดกลม คสล."/>
      <sheetName val="กรอกข้อมูลประเมินราคาชุดที่2"/>
      <sheetName val="ประเภทงาน"/>
      <sheetName val="ถางป่าขุดตอขนาดเบา"/>
      <sheetName val="ถางป่าขุดตอขนาดกลาง"/>
      <sheetName val="ถางป่าขุดตอขนาดหนัก"/>
      <sheetName val="ดินคันทางขุดขน"/>
      <sheetName val="ดินคันทางบดทับ"/>
      <sheetName val="ดินขุดตัด"/>
      <sheetName val="ดินตัก"/>
      <sheetName val="หินผุขัดตัด"/>
      <sheetName val="หินผุดันตัก"/>
      <sheetName val="หินแข็งเจาะระเบิด"/>
      <sheetName val="หินแข็งดันตัก"/>
      <sheetName val="รองพื้นทางขุดขน"/>
      <sheetName val="รองพื้นทางผสมกับวัสดุอื่น"/>
      <sheetName val="รองพื้นทางบดทับ"/>
      <sheetName val="ไหล่ทางลูกรังผสมกับวัสดุอื่น"/>
      <sheetName val="ไหล่ทางลูกรังบดทับ"/>
      <sheetName val="พื้นทางผสมกับวัสดุอื่น"/>
      <sheetName val="พื้นทางบดทับ"/>
      <sheetName val="ตัดแต่งขั้นบันได"/>
      <sheetName val="ขุดรื้อลูกรัง10"/>
      <sheetName val="ขุดรื้อหินคลุก10"/>
      <sheetName val="ขุดรื้อผิวAC5"/>
      <sheetName val="ลาดยางPrimecoat"/>
      <sheetName val="ลาดยางTackcoat"/>
      <sheetName val="ชั้นเดียว(0.5)"/>
      <sheetName val="ชั้นเดียว(0.75)"/>
      <sheetName val="สองชั้น(0.75-0.375)"/>
      <sheetName val="สองชั้น(1-0.5)"/>
      <sheetName val="ชั้นเดียวเคลือบ(0.5)"/>
      <sheetName val="ชั้นเดียวเคลือบ(0.75)"/>
      <sheetName val="สองชั้นเคลือบ(0.75-0.375)"/>
      <sheetName val="สองชั้นเคลือบ(1-0.5)"/>
      <sheetName val="ค่าผสมAC"/>
      <sheetName val="ค่าปูผิวACบนPC"/>
      <sheetName val="ค่าปูผิวACบนTC"/>
      <sheetName val="ค่าผสมconc"/>
      <sheetName val="ค่าขนส่งconc"/>
      <sheetName val="ค่าแบบข้าง2ข้าง"/>
      <sheetName val="ค่าปูผิวconc"/>
      <sheetName val="ค่าตัดรอยต่อและหยอดยาง"/>
      <sheetName val="ค่าหยอดยางรอยต่อ"/>
      <sheetName val="ค่าบ่มผิวconc"/>
      <sheetName val="ค่าผสมวัสดุลูกรัง"/>
      <sheetName val="ค่าบ่มวัสดุลูกรัง"/>
      <sheetName val="ค่าผสมวัสดุหินคลุก"/>
      <sheetName val="ค่าบ่มวัสดุหินคลุก"/>
      <sheetName val="ค่าpipr15"/>
      <sheetName val="ค่าpipr20"/>
      <sheetName val="ค่าpipr25"/>
      <sheetName val="Slurry"/>
      <sheetName val="fogspray"/>
      <sheetName val="Sheet6"/>
      <sheetName val="ค่าดำเนินการและค่าเสื่อม"/>
      <sheetName val="สรุปค่าดำเนินการและค่าเสื่อม"/>
      <sheetName val="ปร.4สะพานคสล."/>
      <sheetName val="ปร.5สะพานคสล.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บันทึกประเมิน"/>
      <sheetName val="กรอกข้อมูลประเมินราคาชุดที1"/>
      <sheetName val="การแบ่งงวดงานCS"/>
      <sheetName val="รายละเอียดงวดงานที่แนบตามประกาศ"/>
      <sheetName val="รายละเอียดงวดงานใช้แนบสัญญาจ้าง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สรุปถอดแบบสะพาน"/>
      <sheetName val="FACTORFงานทาง"/>
      <sheetName val="FACTORFชุก1งานทาง"/>
      <sheetName val="FACTORFชุก2งานทาง"/>
      <sheetName val="สรุปFACTORFงานทาง"/>
      <sheetName val="FACTORFงานสะพาน"/>
      <sheetName val="DATA1_2"/>
      <sheetName val="DATA1_3"/>
      <sheetName val="DATA1_4"/>
      <sheetName val="DATA1_5"/>
      <sheetName val="DATA1_6"/>
      <sheetName val="DATA1_7"/>
      <sheetName val="DATA1_8"/>
      <sheetName val="DATA2"/>
      <sheetName val="DATA6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41.EXCAVATION"/>
      <sheetName val="11 ข้อมูลงานCon"/>
      <sheetName val="10 ข้อมูลวัสดุ-ค่าดำเนิน"/>
      <sheetName val="12 ข้อมูลงานไม้แบบ"/>
      <sheetName val="ค่าขนส่งดำเนินการเสื่อมราคา"/>
      <sheetName val="Oil"/>
      <sheetName val="Factor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"/>
      <sheetName val="ข้อมูลโครงสร้างทาง"/>
      <sheetName val="ข้อมูลโครงการ"/>
      <sheetName val="ข้อมูลประกอบการประมาณราคา"/>
      <sheetName val="รายการประมาณราคาต่อหน่วย"/>
      <sheetName val="ขนาด,ปริมาณถนน"/>
      <sheetName val="ท่อระบายน้ำ"/>
      <sheetName val="ดาดคอนกรีตปากท่อ"/>
      <sheetName val="ป้าย บ-ต"/>
      <sheetName val="ปร.4"/>
      <sheetName val="ปร.5ทช"/>
      <sheetName val="ใบเสนอราคา"/>
      <sheetName val="ปกอบต"/>
      <sheetName val="เลือกชนิดวัสดุมวลรวม"/>
      <sheetName val="เลือกวิธีหาราคาต้นทุน CS"/>
      <sheetName val="ตัวแปรค่าดำเนินการปูลาดAC"/>
      <sheetName val="ปร.4 สะพาน"/>
      <sheetName val="ปร.4 box"/>
      <sheetName val="ตัวแปรสภาพผิวทาง"/>
      <sheetName val="ค่าขนส่ง"/>
      <sheetName val="ค่าขนส่งปูนเมนต์"/>
      <sheetName val="ค่าขนส่งทราย"/>
      <sheetName val="ค่าขนส่งหิน"/>
      <sheetName val="ค่าขนส่งกรวดโม่"/>
      <sheetName val="ค่าขนส่งยาง"/>
      <sheetName val="ค่าขนส่งหินผสมAC"/>
      <sheetName val="ค่าขนส่งHM"/>
      <sheetName val="ค่าขนส่งเครืองจักร 80"/>
      <sheetName val="ค่าขนส่งacในสายทาง"/>
      <sheetName val="ค่าขนส่งเหล็ก"/>
      <sheetName val="ค่าขนส่งเหล็กรูปพรรณ"/>
      <sheetName val="ค่าขนส่งไม้แบบ"/>
      <sheetName val="ค่าขนส่งดินถม"/>
      <sheetName val="ค่าขนส่งลูกรังและวัสดุคัดเลือก"/>
      <sheetName val="ค่าขนส่งดินทิ้ง"/>
      <sheetName val="ค่าขนส่งไม้โครงสร้าง"/>
      <sheetName val="ค่าขนส่งท่อลอดกลม คสล."/>
      <sheetName val="กรอกข้อมูลประเมินราคาชุดที่2"/>
      <sheetName val="ประเภทงาน"/>
      <sheetName val="ถางป่าขุดตอขนาดเบา"/>
      <sheetName val="ถางป่าขุดตอขนาดกลาง"/>
      <sheetName val="ถางป่าขุดตอขนาดหนัก"/>
      <sheetName val="ดินคันทางขุดขน"/>
      <sheetName val="ดินคันทางบดทับ"/>
      <sheetName val="ดินขุดตัด"/>
      <sheetName val="ดินตัก"/>
      <sheetName val="หินผุขัดตัด"/>
      <sheetName val="หินผุดันตัก"/>
      <sheetName val="หินแข็งเจาะระเบิด"/>
      <sheetName val="หินแข็งดันตัก"/>
      <sheetName val="รองพื้นทางขุดขน"/>
      <sheetName val="รองพื้นทางผสมกับวัสดุอื่น"/>
      <sheetName val="รองพื้นทางบดทับ"/>
      <sheetName val="ไหล่ทางลูกรังผสมกับวัสดุอื่น"/>
      <sheetName val="ไหล่ทางลูกรังบดทับ"/>
      <sheetName val="พื้นทางผสมกับวัสดุอื่น"/>
      <sheetName val="พื้นทางบดทับ"/>
      <sheetName val="ตัดแต่งขั้นบันได"/>
      <sheetName val="ขุดรื้อลูกรัง10"/>
      <sheetName val="ขุดรื้อหินคลุก10"/>
      <sheetName val="ขุดรื้อผิวAC5"/>
      <sheetName val="ลาดยางPrimecoat"/>
      <sheetName val="ลาดยางTackcoat"/>
      <sheetName val="ชั้นเดียว(0.5)"/>
      <sheetName val="ชั้นเดียว(0.75)"/>
      <sheetName val="สองชั้น(0.75-0.375)"/>
      <sheetName val="สองชั้น(1-0.5)"/>
      <sheetName val="ชั้นเดียวเคลือบ(0.5)"/>
      <sheetName val="ชั้นเดียวเคลือบ(0.75)"/>
      <sheetName val="สองชั้นเคลือบ(0.75-0.375)"/>
      <sheetName val="สองชั้นเคลือบ(1-0.5)"/>
      <sheetName val="ค่าผสมAC"/>
      <sheetName val="ค่าปูผิวACบนPC"/>
      <sheetName val="ค่าปูผิวACบนTC"/>
      <sheetName val="ค่าผสมconc"/>
      <sheetName val="ค่าขนส่งconc"/>
      <sheetName val="ค่าแบบข้าง2ข้าง"/>
      <sheetName val="ค่าปูผิวconc"/>
      <sheetName val="ค่าตัดรอยต่อและหยอดยาง"/>
      <sheetName val="ค่าหยอดยางรอยต่อ"/>
      <sheetName val="ค่าบ่มผิวconc"/>
      <sheetName val="ค่าผสมวัสดุลูกรัง"/>
      <sheetName val="ค่าบ่มวัสดุลูกรัง"/>
      <sheetName val="ค่าผสมวัสดุหินคลุก"/>
      <sheetName val="ค่าบ่มวัสดุหินคลุก"/>
      <sheetName val="ค่าpipr15"/>
      <sheetName val="ค่าpipr20"/>
      <sheetName val="ค่าpipr25"/>
      <sheetName val="Slurry"/>
      <sheetName val="fogspray"/>
      <sheetName val="Sheet6"/>
      <sheetName val="ค่าดำเนินการและค่าเสื่อม"/>
      <sheetName val="สรุปค่าดำเนินการและค่าเสื่อม"/>
      <sheetName val="ปร.4สะพานคสล."/>
      <sheetName val="ปร.5สะพานคสล.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บันทึกประเมิน"/>
      <sheetName val="กรอกข้อมูลประเมินราคาชุดที1"/>
      <sheetName val="การแบ่งงวดงานCS"/>
      <sheetName val="รายละเอียดงวดงานที่แนบตามประกาศ"/>
      <sheetName val="รายละเอียดงวดงานใช้แนบสัญญาจ้าง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สรุปถอดแบบสะพาน"/>
      <sheetName val="FACTORFงานทาง"/>
      <sheetName val="FACTORFชุก1งานทาง"/>
      <sheetName val="FACTORFชุก2งานทาง"/>
      <sheetName val="สรุปFACTORFงานทาง"/>
      <sheetName val="FACTORFงานสะพาน"/>
      <sheetName val="DATA1_2"/>
      <sheetName val="DATA1_3"/>
      <sheetName val="DATA1_4"/>
      <sheetName val="DATA1_5"/>
      <sheetName val="DATA1_6"/>
      <sheetName val="DATA1_7"/>
      <sheetName val="DATA1_8"/>
      <sheetName val="DATA2"/>
      <sheetName val="DATA6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สรุปข้อมูลประมาณราคา"/>
      <sheetName val="หมวดโครงสร้าง"/>
      <sheetName val="ไฟฟ้า"/>
      <sheetName val="11 ข้อมูลงานCon"/>
      <sheetName val="10 ข้อมูลวัสดุ-ค่าดำเนิน"/>
      <sheetName val="12 ข้อมูลงานไม้แบบ"/>
      <sheetName val="หกล้อขนส่ง"/>
      <sheetName val="ข้อมูลภูมิอากาศ ข้อมูลขนส่ง"/>
      <sheetName val="ค่าเสื่อมราคา "/>
      <sheetName val="11.ค่าเสื่อมราคาและค่าขนส่ง"/>
      <sheetName val="ค่าขนส่งและเสื่อมราคา"/>
      <sheetName val="ส่วนใส่ปริมาณงาน"/>
      <sheetName val="ส่วนคำนวณ1"/>
      <sheetName val="F(ของเรา)"/>
      <sheetName val="แหล่งวัสด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orksheet"/>
      <sheetName val="data"/>
      <sheetName val="รายการประมาณราคาต่อหน่วย"/>
      <sheetName val="ข้อมูลโครงการ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FactorF"/>
      <sheetName val="รวมตารางคำนวณ"/>
      <sheetName val="ค่าขนส่งดำเนินการเสื่อมราคา"/>
      <sheetName val="11 ข้อมูลงานCon"/>
      <sheetName val="10 ข้อมูลวัสดุ-ค่าดำเนิน"/>
      <sheetName val="12 ข้อมูลงานไม้แบ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"/>
      <sheetName val="กรอกข้อมูลโครงการ"/>
      <sheetName val="กรอกปริมาณวัสดุ"/>
      <sheetName val="กรอกป้ายจราจร"/>
      <sheetName val="กรอกราคาวัสดุ"/>
      <sheetName val="Oil"/>
      <sheetName val="ค่างานต้นทุน"/>
      <sheetName val="ค่าเสื่อมราคา"/>
      <sheetName val="ราคาป้ายจราจร"/>
      <sheetName val="กรอกข้อมูลความเสียหาย"/>
      <sheetName val="Fi_road"/>
      <sheetName val="Ffo_road"/>
      <sheetName val="Lateriti"/>
      <sheetName val="Slerry Seal"/>
      <sheetName val="cape seal"/>
      <sheetName val="SST."/>
      <sheetName val="Rec_ac"/>
      <sheetName val="Pa_Ac"/>
      <sheetName val="Recycling"/>
      <sheetName val="อำนวยการ"/>
      <sheetName val="ดอกเบี้ย"/>
      <sheetName val="FACTOR F"/>
      <sheetName val="งานกำแพงปากท่อ"/>
      <sheetName val="ขนาด ท่อ"/>
      <sheetName val="Worksheet"/>
      <sheetName val="รายการประมาณราคาต่อหน่วย"/>
      <sheetName val="ข้อมูลโครงการ"/>
      <sheetName val="FactorF"/>
      <sheetName val="12 ข้อมูลงานไม้แบบ"/>
      <sheetName val="11 ข้อมูลงานCon"/>
      <sheetName val="10 ข้อมูลวัสดุ-ค่าดำเนิน"/>
      <sheetName val="41.EXCAV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  <sheetName val="รวมตารางคำนวณ"/>
      <sheetName val="ค่าขนส่งดำเนินการเสื่อมราคา"/>
      <sheetName val="4.ค่าขนส่งดำเนินการเสื่อมราคา"/>
      <sheetName val="Oil"/>
      <sheetName val="รายการประมาณราคาต่อหน่วย"/>
      <sheetName val="ข้อมูลโครงการ"/>
      <sheetName val="b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1.ข้อมูลโครงการ"/>
      <sheetName val="1.ราคาพาณิชย์จังหวัด"/>
      <sheetName val="2.ข้อมูลลาดยาง"/>
      <sheetName val="ปร.ม3เส้นไหนไม่รู้"/>
      <sheetName val="2ค่าวัสดุดินยืมละลูกรังที่แหล่ง"/>
      <sheetName val="3ข้อมูลราคาวัสดุ"/>
      <sheetName val="4ข้อมูลค่าแรงงาน"/>
      <sheetName val="5.ค่ารอยต่อ"/>
      <sheetName val="ค่าวัสดุมวลรวม"/>
      <sheetName val="F_ทาง"/>
      <sheetName val="BOQ"/>
      <sheetName val="ปริมาณงาน"/>
      <sheetName val="สรุปวัสดุและค่าดำเนินการ"/>
      <sheetName val="ระยะทางและค่าขนส่ง"/>
      <sheetName val="ข้อมูลงานคอนกรีต"/>
      <sheetName val="Unit Cost"/>
      <sheetName val="ค่าขนส่งดำเนินการเสื่อมราคา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ค่าดำเนินการ+ค่าเสื่อมราคา"/>
      <sheetName val="ค่าดำเนินการ+ค่าเสื่อม_2"/>
      <sheetName val="Sheet1"/>
      <sheetName val="Oil"/>
      <sheetName val="Worksheet"/>
      <sheetName val="41.EXCAVATION"/>
      <sheetName val="3.ค่าดำเนินการและเสื่อมราคา"/>
      <sheetName val="รวมตารางคำนวณ"/>
      <sheetName val="11 ข้อมูลงานCon"/>
      <sheetName val="10 ข้อมูลวัสดุ-ค่าดำเนิน"/>
      <sheetName val="12 ข้อมูลงานไม้แบบ"/>
      <sheetName val="ข้อมูลโครงการ"/>
      <sheetName val="รายการประมาณราคาต่อหน่วย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รอกข้อมูลโครงสร้างทาง"/>
      <sheetName val="กรอกข้อมูล AC"/>
      <sheetName val="กรอกข้อมูล CS"/>
      <sheetName val="กรอกข้อมูลงานดิน"/>
      <sheetName val="กรอกข้อมูลงานถนนAC."/>
      <sheetName val="กรอกข้อมูลงานถนนCS."/>
      <sheetName val="กรอกข้อมูลงานถนนคสล.4มหนา15cm"/>
      <sheetName val="กรอกข้อมูลงานถนนคสล.6ม15cm"/>
      <sheetName val="กรอกข้อมูลงานถนนคสล.6ม20cm"/>
      <sheetName val="กรอกข้อมูลงาน Recycling"/>
      <sheetName val="กรอกข้อมูลงานเสริมผิวAC"/>
      <sheetName val="กรอกข้อมูลงานฉาบผิว"/>
      <sheetName val="กรอกข้อมูลส้อมสร้างCS"/>
      <sheetName val="กรอกข้อมูลส้อมสร้างAC"/>
      <sheetName val="กรอกข้อมูลราง-บ่อพัก"/>
      <sheetName val="กรอกข้อมูลสะพาน"/>
      <sheetName val="กรอกข้อมูลท่อเหลี่ยม"/>
      <sheetName val="กรอกข้อมูลวัสดุ"/>
      <sheetName val="กรอกข้อมูลงานถนนคสล.5มหนา15cm"/>
      <sheetName val="ปก"/>
      <sheetName val="แบบฟอร์มสรุปค่าก่อสร้าง"/>
      <sheetName val="ปร.5 ท"/>
      <sheetName val="ปร4.1 ท"/>
      <sheetName val="ปร4.2 ท"/>
      <sheetName val="คำนวณค่าขนส่ง"/>
      <sheetName val="ราคาต่อหน่วยงานทาง"/>
      <sheetName val="ค่าดำเนินการตีเส้นจราจร"/>
      <sheetName val="ราคาต่อหน่วยงานทั่วไป"/>
      <sheetName val="สรุปปริมาณงาน"/>
      <sheetName val="คำนวณค่าดำเนินการฯ"/>
      <sheetName val="รางตื้นRC.GUTTER"/>
      <sheetName val="ฝาบ่อรางตื้นRC.GUTTER"/>
      <sheetName val="บ่อพักน้ำ1"/>
      <sheetName val="รางระบายน้ำ คสล.รูปตัวยู"/>
      <sheetName val="บ่อพักระหว่างรางระบายน้ำ"/>
      <sheetName val="ท่อ1 แถววางข้างถนน"/>
      <sheetName val="ท่อ1แถววางลอดถนน"/>
      <sheetName val="ท่อ2แถววางลอดถนน"/>
      <sheetName val="ท่อ3แถววางลอดถนน"/>
      <sheetName val="HW1แถว"/>
      <sheetName val="HW2แถว"/>
      <sheetName val="HW3แถว"/>
      <sheetName val="คำนวณงานถนนAC"/>
      <sheetName val="คำนวณงานถนนCS"/>
      <sheetName val="คำนวณถนนคสล.4มหนา15cm"/>
      <sheetName val="คำนวณถนนคสล.5ม15cm"/>
      <sheetName val="คำนวณถนนคสล.6ม15cm"/>
      <sheetName val="คำนวณถนนคสล.6ม20cm"/>
      <sheetName val="คำนวณPIR"/>
      <sheetName val="คำนวณงานเสริมผิวAC"/>
      <sheetName val="คำนวณงานฉาบผิว"/>
      <sheetName val="คำนวณงานส้อมสร้างCS"/>
      <sheetName val="คำนวณงานส้อมสร้างAC"/>
      <sheetName val="ปกทช ส"/>
      <sheetName val="ปร.5 ส"/>
      <sheetName val="ปร4.1ส"/>
      <sheetName val="ปร4.2ส"/>
      <sheetName val="ราค่าต่อหน่วยงานสะพาน"/>
      <sheetName val="ราคาต่อหน่วยงานทางในงานสะพาน"/>
      <sheetName val="ค่าขนส่ง10ล้อ"/>
      <sheetName val="ค่าขนส่ง10ล้อลากพ่วง"/>
      <sheetName val="ค่าดำเนินการและค่าเสื่อมราคา"/>
      <sheetName val="วัสดุในเสาเข็มsay"/>
      <sheetName val="ปริมาณวัสดุในเสาเข็ม"/>
      <sheetName val="วัสดุตอม่อตับริมกว้าง9ม_1"/>
      <sheetName val="วัสดุตอม่อตับกลางที่1"/>
      <sheetName val="วัสดุตอม่อตับกลางที่2"/>
      <sheetName val="วัสดุตอม่อตับกลางที่3"/>
      <sheetName val="วัสดุตอม่อตับกลางที่4"/>
      <sheetName val="วัสดุตอม่อตับกลางที่5"/>
      <sheetName val="วัสดุตอม่อตับกลางที่6"/>
      <sheetName val="วัสดุตอม่อตับกลางที่7"/>
      <sheetName val="วัสดุตอม่อตับกลางที่8"/>
      <sheetName val="วัสดุตอม่อตับกลางที่9"/>
      <sheetName val="วัสดุพื้น9ม"/>
      <sheetName val="วัสดุราวสะพาน9ม_ชิดริม"/>
      <sheetName val="วัสดุราวสะพาน9ม_ช่วงใน"/>
      <sheetName val="วัสดุราวสะพาน9ม_ช่วงเดียว"/>
      <sheetName val="2_3"/>
      <sheetName val="2_2.9"/>
      <sheetName val="2_2.8"/>
      <sheetName val="2_2.7"/>
      <sheetName val="2_2.6"/>
      <sheetName val="2_2.5"/>
      <sheetName val="2_2.4"/>
      <sheetName val="2_2.3"/>
      <sheetName val="2_2.2"/>
      <sheetName val="2_2.1"/>
      <sheetName val="2_2"/>
      <sheetName val="2_1.9"/>
      <sheetName val="2_1.8"/>
      <sheetName val="2_1.7"/>
      <sheetName val="2_1.6"/>
      <sheetName val="2_1.5"/>
      <sheetName val="2_สรุปปริมาณวสดุSLOPE PROT."/>
      <sheetName val="1.5_3"/>
      <sheetName val="1.5_2.9"/>
      <sheetName val="1.5_2.8"/>
      <sheetName val="1.5_2.7"/>
      <sheetName val="1.5_2.6"/>
      <sheetName val="1.5_2.5"/>
      <sheetName val="1.5_2.4"/>
      <sheetName val="1.5_2.3"/>
      <sheetName val="1.5_2.2"/>
      <sheetName val="1.5_2.1"/>
      <sheetName val="1.5_2"/>
      <sheetName val="1.5_1.9"/>
      <sheetName val="1.5_1.8"/>
      <sheetName val="1.5_1.7"/>
      <sheetName val="1.5_1.6"/>
      <sheetName val="1.5_1.5"/>
      <sheetName val="1.5_สรุปปริมาณวัสดุSLOPE PROT."/>
      <sheetName val="คำนวณSLOPEP"/>
      <sheetName val="วัสดุAPPROACH1"/>
      <sheetName val="วัสดุAPPROACH2"/>
      <sheetName val="ปกทช ทอ"/>
      <sheetName val="ปร.5 ทอ"/>
      <sheetName val="ปร4.1ทอ"/>
      <sheetName val="ปร4.2ทอ"/>
      <sheetName val="ราคาต่อหน่วยงานท่อเหลี่ยม"/>
      <sheetName val="ราคาต่อหน่วยงานทางในงานBOX"/>
      <sheetName val="0.00-3.00"/>
      <sheetName val="HWBOX"/>
      <sheetName val="ไม้ค้ำยันBOX"/>
      <sheetName val="สรุปFACTORFงานทาง"/>
      <sheetName val="FACTORFชุก2งานทาง"/>
      <sheetName val="FACTORFชุก1งานทาง"/>
      <sheetName val="FACTORFงานทาง"/>
      <sheetName val="FACTORFงานสะพาน"/>
      <sheetName val="ค่างานต้นทุน"/>
      <sheetName val="Form1"/>
      <sheetName val="ได้ราคาคอนกรีต-เหล็กเสริม"/>
      <sheetName val="Form3"/>
      <sheetName val="ได้งานตีเส้น"/>
      <sheetName val="ต้นทุนcon,steel&amp;แบบ"/>
      <sheetName val="ข้อมู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สรุปคก.สะสมงบ66"/>
      <sheetName val="1.ข้อมูลโครงการ"/>
      <sheetName val="ค่าวัสดุที่แหล่ง"/>
      <sheetName val="2.ข้อมูลวัสดุ"/>
      <sheetName val="3.สืบท่อโฟมลูกรังทรายเหล็กป้าย"/>
      <sheetName val="Unit Cost"/>
      <sheetName val="4.Unit Cost2(งานคอนกรีต)แผง"/>
      <sheetName val="ม.6ท่อ คสล.0.60ม."/>
      <sheetName val="งานป้ายโครงการ"/>
      <sheetName val="5.ม.5เหล่าม่วงหนองอั้ว"/>
      <sheetName val="BOQ"/>
      <sheetName val="ปริมาณงาน"/>
      <sheetName val="สรุปวัสดุและค่าดำเนินการ"/>
      <sheetName val="ค่าขนส่งและเสื่อมราคา"/>
      <sheetName val="ระยะทางและค่าขนส่งคำนวณแล้ว"/>
      <sheetName val="ค่าดำเนินการ+ค่าเสื่อมราคา"/>
      <sheetName val="ข้อมูลงานคอนกรีต"/>
      <sheetName val="ข้อมูลค่าแรงงาน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ตารางดินไปห้วยน้ำเค็ม (2)"/>
      <sheetName val="10.Unit Cost2(งานคอนกรีต)พท.ทั้"/>
      <sheetName val="ค่าดำเนินการ+ค่าเสื่อม_2"/>
      <sheetName val="bq"/>
      <sheetName val="ค่าเสื่อมราคาและค่าขนส่ง"/>
      <sheetName val="รายการประมาณราคาต่อหน่วย"/>
    </sheetNames>
    <sheetDataSet>
      <sheetData sheetId="0"/>
      <sheetData sheetId="1"/>
      <sheetData sheetId="2">
        <row r="10">
          <cell r="L10" t="str">
            <v>ก่อสร้างท่อคอนกรีตเสริมเหล็กชั้น 3 มี มอก. ขนาดเส้นผ่าศูนย์กลาง 0.60 เมตร</v>
          </cell>
        </row>
        <row r="13">
          <cell r="L13" t="str">
            <v>จากซอย 2 ถึง ซอย 4</v>
          </cell>
        </row>
        <row r="14">
          <cell r="L14" t="str">
            <v>หมู่ที่ 6 บ้านโคกคอย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M15">
            <v>165.86</v>
          </cell>
        </row>
        <row r="21">
          <cell r="M21">
            <v>186.8</v>
          </cell>
        </row>
        <row r="28">
          <cell r="I28">
            <v>71.59</v>
          </cell>
        </row>
      </sheetData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ข้อมูลโครงการ"/>
      <sheetName val="ค่าวัสดุที่แหล่ง"/>
      <sheetName val="ข้อมูลวัสดุ"/>
      <sheetName val="ข้อมูลค่าแรงงาน"/>
      <sheetName val="BOQ"/>
      <sheetName val="ปริมาณงาน"/>
      <sheetName val="สรุปวัสดุและค่าดำเนินการ"/>
      <sheetName val="ระยะทางและค่าขนส่ง"/>
      <sheetName val="ข้อมูลงานคอนกรีต"/>
      <sheetName val="Unit Cost"/>
      <sheetName val="รวมตารางคำนวณ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ค่าดำเนินการ+ค่าเสื่อมราคา"/>
      <sheetName val="ค่าดำเนินการ+ค่าเสื่อม_2"/>
      <sheetName val="ค่าขนส่งดำเนินการเสื่อมราคา"/>
      <sheetName val="Oil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4.ค่าขนส่งดำเนินการเสื่อมราคา"/>
      <sheetName val="3.ค่าดำเนินการและเสื่อมราคา"/>
      <sheetName val="รายการประมาณราคาต่อหน่ว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สรุปคก.สะสมงบ66"/>
      <sheetName val="1.ข้อมูลโครงการ"/>
      <sheetName val="ค่าวัสดุที่แหล่ง"/>
      <sheetName val="2.ข้อมูลวัสดุ"/>
      <sheetName val="3.สืบท่อโฟมลูกรังทรายเหล็กป้าย "/>
      <sheetName val="4.Unit Cost"/>
      <sheetName val="5.Unit Cost2(งานคอนกรีต)แผง"/>
      <sheetName val="6.ม.5เหล่าม่วงถึงสิทธิพล"/>
      <sheetName val="7.ปริมาณงาน"/>
      <sheetName val="8.งานป้ายโครงการ"/>
      <sheetName val="BOQ"/>
      <sheetName val="สรุปวัสดุและค่าดำเนินการ"/>
      <sheetName val="ค่าขนส่งและเสื่อมราคา"/>
      <sheetName val="ระยะทางและค่าขนส่งคำนวณแล้ว"/>
      <sheetName val="ค่าดำเนินการ+ค่าเสื่อมราคา"/>
      <sheetName val="ข้อมูลงานคอนกรีต"/>
      <sheetName val="ข้อมูลค่าแรงงาน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ตารางดินไปห้วยน้ำเค็ม (2)"/>
      <sheetName val="10.Unit Cost2(งานคอนกรีต)พท.ทั้"/>
      <sheetName val="ค่าดำเนินการ+ค่าเสื่อม_2"/>
      <sheetName val="ค่าเสื่อมราคาและค่าขนส่ง"/>
    </sheetNames>
    <sheetDataSet>
      <sheetData sheetId="0"/>
      <sheetData sheetId="1"/>
      <sheetData sheetId="2">
        <row r="31">
          <cell r="P31" t="str">
            <v>ค2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">
          <cell r="L22">
            <v>2491.54</v>
          </cell>
        </row>
        <row r="23">
          <cell r="L23">
            <v>762.69</v>
          </cell>
        </row>
        <row r="25">
          <cell r="H25">
            <v>20</v>
          </cell>
          <cell r="I25">
            <v>74.650000000000006</v>
          </cell>
          <cell r="L25">
            <v>254.65</v>
          </cell>
        </row>
        <row r="37">
          <cell r="L37">
            <v>205.61</v>
          </cell>
        </row>
      </sheetData>
      <sheetData sheetId="13">
        <row r="16">
          <cell r="Q16">
            <v>47.29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สรุปคก.สะสมงบ66"/>
      <sheetName val="1.ข้อมูลโครงการ"/>
      <sheetName val="ค่าวัสดุที่แหล่ง"/>
      <sheetName val="2.ข้อมูลวัสดุ"/>
      <sheetName val="3.สืบท่อโฟมลูกรังทรายเหล็กป้าย "/>
      <sheetName val="3.สืบท่อโฟมลูกรังทรายเหล็กป้(2)"/>
      <sheetName val="4.Unit Cost2(งานคอนกรีต)แผง"/>
      <sheetName val="5.ม.1ปั้มน้ำมันป่าช้าเชียงดา"/>
      <sheetName val="งานป้ายโครงการ"/>
      <sheetName val="BOQ"/>
      <sheetName val="ปริมาณงาน"/>
      <sheetName val="Unit Cost"/>
      <sheetName val="สรุปวัสดุและค่าดำเนินการ"/>
      <sheetName val="ค่าขนส่งและเสื่อมราคา"/>
      <sheetName val="ระยะทางและค่าขนส่งคำนวณแล้ว"/>
      <sheetName val="ค่าดำเนินการ+ค่าเสื่อมราคา"/>
      <sheetName val="ข้อมูลงานคอนกรีต"/>
      <sheetName val="ข้อมูลค่าแรงงาน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ตารางดินไปห้วยน้ำเค็ม (2)"/>
      <sheetName val="10.Unit Cost2(งานคอนกรีต)พท.ทั้"/>
      <sheetName val="ค่าดำเนินการ+ค่าเสื่อม_2"/>
      <sheetName val="Form1"/>
      <sheetName val="Form2"/>
      <sheetName val="แหล่งวัสด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2.ค่าวัสดุที่แหล่ง(กรอก)"/>
      <sheetName val="3.ข้อมูลวัสดุ(กรอก)"/>
      <sheetName val="4.บันทึกสืบลูกรัง"/>
      <sheetName val="5.ข้อมูลค่าแรงงาน"/>
      <sheetName val="6.งานป้ายจราจร"/>
      <sheetName val="8.ข้อมูลงานคอนกรีต"/>
      <sheetName val="9.Unit Cost"/>
      <sheetName val="10.Unit Cost2(งานคอนกรีต)แผง"/>
      <sheetName val="10.Unit Cost2(งานคอนกรีต)พท.ทั้"/>
      <sheetName val="1.ข้อมูลโครงการ(กรอก)"/>
      <sheetName val="7.ปริมาณงาน"/>
      <sheetName val="ค่าเสื่อมราคาและค่าขนส่ง"/>
      <sheetName val="ม.12คสล.ไปห้วยน้ำเค็ม (2)"/>
      <sheetName val="ม.12คสล.ไปห้วยน้ำเค็ม (3)"/>
      <sheetName val="ตารางดินไปห้วยน้ำเค็ม (2)"/>
      <sheetName val="สรุปคก.งบ66wไม่เกิน5แสน"/>
      <sheetName val="11.ปร4หนองไผ่โนนหัวเชียงจริง"/>
      <sheetName val="BOQ"/>
      <sheetName val="สรุปวัสดุและค่าดำเนินการ"/>
      <sheetName val="ระยะทางและค่าขนส่ง"/>
      <sheetName val="4.ตารางงานต้นทุนของ อ.ภณ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ค่าดำเนินการ+ค่าเสื่อมราคา"/>
      <sheetName val="Sheet2"/>
      <sheetName val="1.บันทึกสืบ"/>
      <sheetName val="ค่าดำเนินการ+ค่าเสื่อม_2"/>
      <sheetName val="ส่วนใส่ปริมาณงาน"/>
      <sheetName val="ส่วนคำนวณ1"/>
      <sheetName val="bq"/>
      <sheetName val="11 ข้อมูลงานCon"/>
      <sheetName val="แหล่งวัสดุ"/>
      <sheetName val="หกล้อขนส่ง"/>
      <sheetName val="ข้อมูลภูมิอากาศ ข้อมูลขนส่ง"/>
      <sheetName val="ค่าเสื่อมราคา "/>
      <sheetName val="10 ข้อมูลวัสดุ-ค่าดำเนิน"/>
      <sheetName val="12 ข้อมูลงานไม้แบบ"/>
      <sheetName val="รวมตารางคำนวณ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2"/>
      <sheetName val="S3"/>
      <sheetName val="1.ข้อมูลโครงการ"/>
      <sheetName val="2.ข้อมูลลาดยาง"/>
      <sheetName val="2ข้อมูลราคาวัสดุ"/>
      <sheetName val="บันทึกสืบราคา"/>
      <sheetName val="บันทึกสืบราคา (2)"/>
      <sheetName val="3.ค่าแรงงาน"/>
      <sheetName val="5.ค่ารอยต่อ"/>
      <sheetName val="F_ทาง"/>
      <sheetName val="โจส่งกองช่างล่าสุด"/>
      <sheetName val="ม.3ต่อเส้นไม่รู้ต้นแบบ"/>
      <sheetName val="ม.3ทางตันเพิ่มระยะทางใหม่"/>
      <sheetName val="ม.3หลังรร."/>
      <sheetName val="ม.5รอบหนอง"/>
      <sheetName val="ม.6ซอยเดิม"/>
      <sheetName val="ม.7โนนปู่ตา"/>
      <sheetName val="ม.9ข้างร้านค้า (2)"/>
      <sheetName val="ม.9เข้าถังประปาใหม่"/>
      <sheetName val="ม.10ตกวัดหายโศก"/>
      <sheetName val="ม.10ทองบ่อ"/>
      <sheetName val="ม.12ไปห้วยน้ำเค็ม"/>
      <sheetName val="1.ข้อมูลโครงการ (2)"/>
      <sheetName val="2ข้อมูลราคาวัสดุ (2)"/>
      <sheetName val="3.ค่าแรงงาน (2)"/>
      <sheetName val="4.ค่าขนส่งดำเนินการเสื่อมรา (2)"/>
      <sheetName val="6.Unit Cost(2)"/>
      <sheetName val="สรุปโคงการงบ65ญัตติ"/>
      <sheetName val="สรุปโคงการงบ65ญัตตินายกเพิ่ม"/>
      <sheetName val="1.บันทึกสืบราคาจริง"/>
      <sheetName val="1.บันทึกสืบลูกรังหายโศก"/>
      <sheetName val="2.ค่าขนส่งดำเนินการเสื่อมรา "/>
      <sheetName val="3.ค่าแรงงาน2"/>
      <sheetName val="4.วัสดุมวลรวมหลักเขตยาแนวท่อ"/>
      <sheetName val="ม.9ท่อน้ำลอดวังปลาขาวญัตติ"/>
      <sheetName val="6.ม.11อัดแน่นคำบากเพ็กญัตติ (2"/>
      <sheetName val="ม.1กส.ลูกรังไปวัด"/>
      <sheetName val="ม.1กส.ลูกรังไปตาว"/>
      <sheetName val="ม.2กส.ลูกรังไรองเขียว"/>
      <sheetName val="ม.4กส.ลูกรังไร่มันอรดี ใหม่"/>
      <sheetName val="ม.4กส.ลูกรังนายสงัดใหม่"/>
      <sheetName val="ม.5กส.ลูกรังหลังอนามัยไม่มีท่อ"/>
      <sheetName val="ม.4กส.ลูกรังหนองตะไกล้ใหม่"/>
      <sheetName val="ม.8กส.ลูกรังเสรี"/>
      <sheetName val="อัตราราคางานดินชลประทาน"/>
      <sheetName val="5.รถเกรด35.00-35.99"/>
      <sheetName val="6.ม.11อัดแน่นคำบากเพ็กญัตติ"/>
      <sheetName val="4.ค่าขนส่งดำเนินการเสื่อมราคา"/>
      <sheetName val="ม.10ลูกรังหนองหายโศกญัตติ"/>
      <sheetName val="โจส่งกองช่างล่าสุด2"/>
      <sheetName val="สรุปโคงการงบ66"/>
      <sheetName val="สรุปโคงการงบ65หลังส่งโจจริง"/>
      <sheetName val="2ข้อมูลราคาวัสดุ(3) "/>
      <sheetName val="5.ค่าขนส่งดำเนินการเสื่อมรา (3)"/>
      <sheetName val="4ข้อมูลค่าแรงงาน (3)"/>
      <sheetName val="6.Unit Cost(3)"/>
      <sheetName val="7.ค่าวัสดุมวลรวมทาสีกับหลัก (2)"/>
      <sheetName val="7.ค่าวัสดุมวลรวมทาสีกับหลักเขต2"/>
      <sheetName val="ค่าวัสดุมวลรวมทาสี"/>
      <sheetName val="ม.8ท่อยนต์ใหม่"/>
      <sheetName val="ม.8บ่อพักยนต์ใหม่"/>
      <sheetName val="ม.8ท่อลำดวนใหม่"/>
      <sheetName val="ม.8บ่อพักลำดวนใหม่"/>
      <sheetName val="โจส่งกองช่างล่าสุด3"/>
      <sheetName val="ม.3ต่อเส้นเงินอุดหนุน"/>
      <sheetName val="ม.3ทางตัน"/>
      <sheetName val="ม.4กส.ลูกรังหนองตะไกล้"/>
      <sheetName val="ม.4กส.ลูกรังไร่มันอรดี"/>
      <sheetName val="ม.10หน้าเมรุ"/>
      <sheetName val="ม.10ลูกรังหนองหายโศก "/>
      <sheetName val="ม.11อัดแน่นคำบากเพ็ก"/>
      <sheetName val="ม.8ท่อยนต์"/>
      <sheetName val="ม.8บ่อพักยนต์"/>
      <sheetName val="ม.8ท่อลำดวน"/>
      <sheetName val="ม.8บ่อพักลำดวน"/>
      <sheetName val="ม.9เข้าถังประปา"/>
      <sheetName val="ม.9ข้างร้านค้า"/>
      <sheetName val="ม.9ท่อน้ำลอดวังปลาขาว"/>
      <sheetName val="งานตีเส้น"/>
      <sheetName val="งานป้ายโครงการ"/>
      <sheetName val="ค่าธรรมเนียมทดสอบวัสดุ"/>
      <sheetName val="ท่อ คสล."/>
      <sheetName val="ราคาประเมินที่ดิน"/>
      <sheetName val="job mix "/>
      <sheetName val="Sheet2"/>
      <sheetName val="1.บันทึกสืบราคา"/>
      <sheetName val="รวมตารางคำนวณ"/>
      <sheetName val="Worksheet"/>
      <sheetName val="ค่าขนส่งดำเนินการเสื่อมราคา"/>
      <sheetName val="3.ค่าดำเนินการและเสื่อมราคา"/>
      <sheetName val="O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bq"/>
      <sheetName val="ชี้แจงราคา cape seal"/>
      <sheetName val="uc1"/>
      <sheetName val="select"/>
      <sheetName val="สรุปประเมิน"/>
      <sheetName val="งานที่เหลือ"/>
      <sheetName val="ปรับลดงาน"/>
      <sheetName val="ประเมิน"/>
      <sheetName val="A"/>
      <sheetName val="11 ข้อมูลงานCon"/>
      <sheetName val="รวมตารางคำนวณ"/>
      <sheetName val="CURVE"/>
      <sheetName val="4.ค่าขนส่งดำเนินการเสื่อมราคา"/>
      <sheetName val="ค่างานต้นทุนต่อหน่วย"/>
      <sheetName val="ส่วนใส่ปริมาณงาน"/>
      <sheetName val="ส่วนคำนวณ1"/>
      <sheetName val="ข้อมูลโครงการ"/>
      <sheetName val="O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bq"/>
      <sheetName val="ชี้แจงราคา cape seal"/>
      <sheetName val="uc1"/>
      <sheetName val="select"/>
      <sheetName val="สรุปประเมิน"/>
      <sheetName val="งานที่เหลือ"/>
      <sheetName val="ปรับลดงาน"/>
      <sheetName val="ประเมิน"/>
      <sheetName val="A"/>
      <sheetName val="4.ค่าขนส่งดำเนินการเสื่อมราคา"/>
      <sheetName val="11 ข้อมูลงานCon"/>
      <sheetName val="ข้อมูลโครงการ"/>
      <sheetName val="ค่าเสื่อมราคาและค่าขนส่ง"/>
      <sheetName val="ส่วนใส่ปริมาณงาน"/>
      <sheetName val="ส่วนคำนวณ1"/>
      <sheetName val="รวมตารางคำนวณ"/>
      <sheetName val="Oil"/>
      <sheetName val="รายการประมาณราคาต่อหน่ว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"/>
      <sheetName val="ปร.4"/>
      <sheetName val="ปร.5ทช"/>
      <sheetName val="ปกทช"/>
      <sheetName val="ข้อมูลประกอบการประมาณราคา"/>
      <sheetName val="รายการประมาณราคาต่อหน่วย"/>
      <sheetName val="ข้อมูลโครงการ"/>
      <sheetName val="ข้อมูลโครงสร้างทาง"/>
      <sheetName val="เลือกชนิดวัสดุมวลรวม"/>
      <sheetName val="เลือกวิธีหาราคาต้นทุน CS"/>
      <sheetName val="ตัวแปรค่าดำเนินการปูลาดAC"/>
      <sheetName val="ปร.4 สะพาน"/>
      <sheetName val="ปร.4 box"/>
      <sheetName val="ตัวแปรสภาพผิวทาง"/>
      <sheetName val="ค่าขนส่ง"/>
      <sheetName val="ค่าขนส่งปูนเมนต์"/>
      <sheetName val="ค่าขนส่งทราย"/>
      <sheetName val="ค่าขนส่งหิน"/>
      <sheetName val="ค่าขนส่งกรวดโม่"/>
      <sheetName val="ค่าขนส่งยาง"/>
      <sheetName val="ค่าขนส่งหินผสมAC"/>
      <sheetName val="ค่าขนส่งHM"/>
      <sheetName val="ค่าขนส่งเครืองจักร 80"/>
      <sheetName val="ค่าขนส่งacในสายทาง"/>
      <sheetName val="ค่าขนส่งเหล็ก"/>
      <sheetName val="ค่าขนส่งเหล็กรูปพรรณ"/>
      <sheetName val="ค่าขนส่งไม้แบบ"/>
      <sheetName val="ค่าขนส่งดินถม"/>
      <sheetName val="ค่าขนส่งลูกรังและวัสดุคัดเลือก"/>
      <sheetName val="ค่าขนส่งดินทิ้ง"/>
      <sheetName val="ค่าขนส่งไม้โครงสร้าง"/>
      <sheetName val="ค่าขนส่งท่อลอดกลม คสล."/>
      <sheetName val="กรอกข้อมูลประเมินราคาชุดที่2"/>
      <sheetName val="ประเภทงาน"/>
      <sheetName val="ถางป่าขุดตอขนาดเบา"/>
      <sheetName val="ถางป่าขุดตอขนาดกลาง"/>
      <sheetName val="ถางป่าขุดตอขนาดหนัก"/>
      <sheetName val="ดินคันทางขุดขน"/>
      <sheetName val="ดินคันทางบดทับ"/>
      <sheetName val="ดินขุดตัด"/>
      <sheetName val="ดินตัก"/>
      <sheetName val="หินผุขัดตัด"/>
      <sheetName val="หินผุดันตัก"/>
      <sheetName val="หินแข็งเจาะระเบิด"/>
      <sheetName val="หินแข็งดันตัก"/>
      <sheetName val="รองพื้นทางขุดขน"/>
      <sheetName val="รองพื้นทางผสมกับวัสดุอื่น"/>
      <sheetName val="รองพื้นทางบดทับ"/>
      <sheetName val="ไหล่ทางลูกรังผสมกับวัสดุอื่น"/>
      <sheetName val="ไหล่ทางลูกรังบดทับ"/>
      <sheetName val="พื้นทางผสมกับวัสดุอื่น"/>
      <sheetName val="พื้นทางบดทับ"/>
      <sheetName val="ตัดแต่งขั้นบันได"/>
      <sheetName val="ขุดรื้อลูกรัง10"/>
      <sheetName val="ขุดรื้อหินคลุก10"/>
      <sheetName val="ขุดรื้อผิวAC5"/>
      <sheetName val="ลาดยางPrimecoat"/>
      <sheetName val="ลาดยางTackcoat"/>
      <sheetName val="ชั้นเดียว(0.5)"/>
      <sheetName val="ชั้นเดียว(0.75)"/>
      <sheetName val="สองชั้น(0.75-0.375)"/>
      <sheetName val="สองชั้น(1-0.5)"/>
      <sheetName val="ชั้นเดียวเคลือบ(0.5)"/>
      <sheetName val="ชั้นเดียวเคลือบ(0.75)"/>
      <sheetName val="สองชั้นเคลือบ(0.75-0.375)"/>
      <sheetName val="สองชั้นเคลือบ(1-0.5)"/>
      <sheetName val="ค่าผสมAC"/>
      <sheetName val="ค่าปูผิวACบนPC"/>
      <sheetName val="ค่าปูผิวACบนTC"/>
      <sheetName val="ค่าผสมconc"/>
      <sheetName val="ค่าขนส่งconc"/>
      <sheetName val="ค่าแบบข้าง2ข้าง"/>
      <sheetName val="ค่าปูผิวconc"/>
      <sheetName val="ค่าตัดรอยต่อและหยอดยาง"/>
      <sheetName val="ค่าหยอดยางรอยต่อ"/>
      <sheetName val="ค่าบ่มผิวconc"/>
      <sheetName val="ค่าผสมวัสดุลูกรัง"/>
      <sheetName val="ค่าบ่มวัสดุลูกรัง"/>
      <sheetName val="ค่าผสมวัสดุหินคลุก"/>
      <sheetName val="ค่าบ่มวัสดุหินคลุก"/>
      <sheetName val="ค่าpipr15"/>
      <sheetName val="ค่าpipr20"/>
      <sheetName val="ค่าpipr25"/>
      <sheetName val="Slurry"/>
      <sheetName val="fogspray"/>
      <sheetName val="Sheet6"/>
      <sheetName val="ค่าดำเนินการและค่าเสื่อม"/>
      <sheetName val="สรุปค่าดำเนินการและค่าเสื่อม"/>
      <sheetName val="ปร.4สะพานคสล."/>
      <sheetName val="ปร.5สะพานคสล.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บันทึกประเมิน"/>
      <sheetName val="กรอกข้อมูลประเมินราคาชุดที1"/>
      <sheetName val="การแบ่งงวดงานCS"/>
      <sheetName val="รายละเอียดงวดงานที่แนบตามประกาศ"/>
      <sheetName val="รายละเอียดงวดงานใช้แนบสัญญาจ้าง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สรุปถอดแบบสะพาน"/>
      <sheetName val="FACTORFงานทาง"/>
      <sheetName val="FACTORFชุก1งานทาง"/>
      <sheetName val="FACTORFชุก2งานทาง"/>
      <sheetName val="สรุปFACTORFงานทาง"/>
      <sheetName val="FACTORFงานสะพาน"/>
      <sheetName val="DATA1_1"/>
      <sheetName val="DATA1_2"/>
      <sheetName val="DATA1_3"/>
      <sheetName val="DATA1_4"/>
      <sheetName val="DATA1_5"/>
      <sheetName val="DATA1_6"/>
      <sheetName val="DATA1_7"/>
      <sheetName val="DATA1_8"/>
      <sheetName val="DATA2"/>
      <sheetName val="DATA6"/>
      <sheetName val="DATA3"/>
      <sheetName val="DATA4"/>
      <sheetName val="DATA5"/>
      <sheetName val="bq"/>
      <sheetName val="11 ข้อมูลงานCon"/>
      <sheetName val="รวมตารางคำนวณ"/>
      <sheetName val="4.ค่าขนส่งดำเนินการเสื่อมราคา"/>
      <sheetName val="ค่าขนส่งและเสื่อมราคา"/>
      <sheetName val="ค่าเสื่อมราคาและค่าขนส่ง"/>
      <sheetName val="CUR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RVE"/>
      <sheetName val="รายการประมาณราคาต่อหน่วย"/>
      <sheetName val="bq"/>
      <sheetName val="11 ข้อมูลงานCon"/>
      <sheetName val="4.ค่าขนส่งดำเนินการเสื่อมราคา"/>
      <sheetName val="ค่าขนส่งและเสื่อมราคา"/>
      <sheetName val="รวมตารางคำนวณ"/>
      <sheetName val="Oil"/>
      <sheetName val="ข้อมูลโครงการ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ข้อมูลโครงการ"/>
      <sheetName val="DATA1"/>
      <sheetName val="DATA2"/>
      <sheetName val="DATA3"/>
      <sheetName val="DATA4"/>
      <sheetName val="DATA5"/>
      <sheetName val="DATA6"/>
      <sheetName val="DATAbox1"/>
      <sheetName val="DATAbox2"/>
      <sheetName val="DATABRD1"/>
      <sheetName val="เสาเข็มBRD1"/>
      <sheetName val="ตอม่อBRD1"/>
      <sheetName val="พื้นBRD1"/>
      <sheetName val="ราวริมBRD1"/>
      <sheetName val="ราวกลางBRD1"/>
      <sheetName val="ราวBRD1"/>
      <sheetName val="APBRD1"/>
      <sheetName val="CSPBRD1"/>
      <sheetName val="ปริมาณbox1"/>
      <sheetName val="ปริมาณbox2"/>
      <sheetName val="ข้อมูลน้ำมัน"/>
      <sheetName val="กำแพงปากท่อ"/>
      <sheetName val="ตารางแหล่งวัสดุ"/>
      <sheetName val="การเชื่อมโยงค่าระยะทาง"/>
      <sheetName val="ปก"/>
      <sheetName val="ปร.5"/>
      <sheetName val="ปร.4"/>
      <sheetName val="ค่างานต้นทุน"/>
      <sheetName val="ใบสนอราคา"/>
      <sheetName val="บันทึกต่อรอง"/>
      <sheetName val="ตารางการแบ่งงวดงาน"/>
      <sheetName val="สรุปการแบ่งงวด"/>
      <sheetName val="รายละเอียดงวดงาน"/>
      <sheetName val="รายละเยดงวดในประกาศ"/>
      <sheetName val="สรุปค่าขนส่ง"/>
      <sheetName val="ข้อมูลpop_up"/>
      <sheetName val="ขน10_12.50"/>
      <sheetName val="ขน10พ่วง_12.50"/>
      <sheetName val="ขน10_13.50"/>
      <sheetName val="ขน10พ่วง_13.50"/>
      <sheetName val="ขน10_14.50"/>
      <sheetName val="ขน10พ่วง_14.50"/>
      <sheetName val="ขน10_15.50"/>
      <sheetName val="ขน10พ่วง_15.50"/>
      <sheetName val="ขน10"/>
      <sheetName val="ขน10พ่วง"/>
      <sheetName val="ค่าเสื่อมราคา"/>
      <sheetName val="Factor_Fงานทาง"/>
      <sheetName val="Factor_Fงานสะพาน"/>
      <sheetName val="Form1"/>
      <sheetName val="Form3"/>
      <sheetName val="ได้ราคาคอนกรีต-เหล็กเสริม"/>
      <sheetName val="ได้งานตีเส้น"/>
      <sheetName val="กรอกราคาวัสดุที่แหล่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RVE"/>
      <sheetName val="รายการประมาณราคาต่อหน่วย"/>
      <sheetName val="ส่วนใส่ปริมาณงาน"/>
      <sheetName val="ส่วนคำนวณ1"/>
      <sheetName val="แหล่งวัสดุ"/>
      <sheetName val="ข้อมูลโครงการ"/>
      <sheetName val="ข้อมูลโครงการ (2)"/>
      <sheetName val="Cost Estimate"/>
      <sheetName val="ข้อมูลงานคอนกรีต"/>
      <sheetName val="ราคาวัสดุที่แหล่ง+ระยะขนส่ง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สรุปข้อมูลประมาณราคา"/>
      <sheetName val="หมวดโครงสร้าง"/>
      <sheetName val="ไฟฟ้า"/>
      <sheetName val="หกล้อขนส่ง"/>
      <sheetName val="ข้อมูลภูมิอากาศ ข้อมูลขนส่ง"/>
      <sheetName val="ค่าเสื่อมราคา "/>
      <sheetName val="11 ข้อมูลงานCon"/>
      <sheetName val="10 ข้อมูลวัสดุ-ค่าดำเนิน"/>
      <sheetName val="12 ข้อมูลงานไม้แบบ"/>
      <sheetName val="F(ของเรา)"/>
      <sheetName val="bq"/>
      <sheetName val="ค่างานต้นทุน"/>
      <sheetName val="4.ค่าขนส่งดำเนินการเสื่อมราค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วัสดุในเสาเข็มsay"/>
      <sheetName val="ปริมาณวัสดุในเสาเข็ม"/>
      <sheetName val="วัสดุตอม่อตับริมกว้าง9ม_1"/>
      <sheetName val="วัสดุตอม่อตับริมกว้าง9ม_2"/>
      <sheetName val="วัสดุตอม่อตับริมกว้าง9มแผ่_1"/>
      <sheetName val="วัสดุตอม่อตับริมกว้าง9มแผ่_ 2"/>
      <sheetName val="วัสดุตอม่อตับกลางกว้าง9ม_1"/>
      <sheetName val="วัสดุตอม่อตับกลางกว้าง9ม_2"/>
      <sheetName val="วัสดุตอม่อตับกลางกว้าง9มแผ่_1"/>
      <sheetName val="วัสดุตอม่อตับกลางกว้าง9มแผ่_2"/>
      <sheetName val="วัสดุพื้นslabtype9ม."/>
      <sheetName val="วัสดุPlankgirderตัวริม9ม."/>
      <sheetName val="วัสดุPlankgirderตัวใน9ม."/>
      <sheetName val="วัสดุTOPPINGบนPG9ม."/>
      <sheetName val="วัสดุราวสะพาน4-9ม_ทถ_1"/>
      <sheetName val="วัสดุราวสะพาน9ม_ชิดริมทช_1"/>
      <sheetName val="วัสดุราวสะพาน9ม_ช่วงในทช_1"/>
      <sheetName val="วัสดุราวสะพาน9ม_ช่วงเดียวทช_1"/>
      <sheetName val="วัสดุราวสะพาน8ม_ชิดริมทช_2"/>
      <sheetName val="วัสดุราวสะพาน8ม_ช่วงในทช_2"/>
      <sheetName val="วัสดุราวสะพาน8ม_ช่วงเดียวทช_2"/>
      <sheetName val="วัสดุราวสะพาน8ม_ชิดริมทถ_2"/>
      <sheetName val="วัสดุราวสะพาน8ม_ช่วงในทถ_2"/>
      <sheetName val="วัสดุราวสะพาน8ม_ช่วงเดียวทถ_2"/>
      <sheetName val="วัสดุทางเท้าสะพาน1.00-1.50_ทช_1"/>
      <sheetName val="วัสดุทางเท้าสะพาน1.00-1.50_ทช_2"/>
      <sheetName val="สะพาน4ม.วัสดุทางเท้า0.75_ทถ"/>
      <sheetName val="สะพาน7ม.วัสดุทางเท้า0.75_ทถ"/>
      <sheetName val="สะพาน7ม.วัสดุทางเท้า1.00_ทถ_1"/>
      <sheetName val="สะพาน7ม.วัสดุทางเท้า1.00_ทถ_2"/>
      <sheetName val="วัสดุแท่นไฟ_ทชไม่มีทางเท้า"/>
      <sheetName val="วัสดุแท่นไฟ_ทถไม่มีทางเท้า"/>
      <sheetName val="8มวัสดุแท่นไฟ_ทชมีทางเท้า1-1.5"/>
      <sheetName val="7มวัสดุแท่นไฟ_ทถมีทางเท้า0.75-1"/>
      <sheetName val="วัสดุAPPROACH9.00ทชไม่มีทางเท้า"/>
      <sheetName val="วัสดุAPPROACH4,7,9ทถไม่มีทาง"/>
      <sheetName val="วัสดุAPPROACH8.00ทชมีทางเท้า"/>
      <sheetName val="วัสดุAPPROACH8.00ทถมีทางเท้า"/>
      <sheetName val="วัสดุAPPROACH4,7ทถมีทางเท้า"/>
      <sheetName val="รายการประมาณราคาต่อหน่วย (2)"/>
      <sheetName val="ตารางถอดแบบสะพาน (2)"/>
      <sheetName val="ปร.5ทช (2)"/>
      <sheetName val="ปร4.1ส"/>
      <sheetName val="ปร.4 สะพาน (3)"/>
      <sheetName val="ราคาต่อหน่วยงานสะพาน"/>
      <sheetName val="ปร4.2ส"/>
      <sheetName val="ราคาต่อหน่วยงานทาง"/>
      <sheetName val="ปร4.3ส"/>
      <sheetName val="ข้อมูลราคาและแหล่งวัสดุ"/>
      <sheetName val="Sheet1"/>
      <sheetName val="เมนู"/>
      <sheetName val="ปร.4"/>
      <sheetName val="ปร.5ทช"/>
      <sheetName val="ปกทช (2)"/>
      <sheetName val="ปกทช"/>
      <sheetName val="ข้อมูลประกอบการประมาณราคา"/>
      <sheetName val="รายการประมาณราคาต่อหน่วย"/>
      <sheetName val="ข้อมูลโครงการ"/>
      <sheetName val="ข้อมูลโครงสร้างทาง"/>
      <sheetName val="เลือกชนิดวัสดุมวลรวม"/>
      <sheetName val="เลือกวิธีหาราคาต้นทุน CS"/>
      <sheetName val="ตัวแปรค่าดำเนินการปูลาดAC"/>
      <sheetName val="ปร.4 สะพาน (2)"/>
      <sheetName val="ปร.4 สะพาน"/>
      <sheetName val="ปร.4 box"/>
      <sheetName val="ตัวแปรสภาพผิวทาง"/>
      <sheetName val="ค่าขนส่ง"/>
      <sheetName val="ค่าขนส่งปูนเมนต์"/>
      <sheetName val="ค่าขนส่งทราย"/>
      <sheetName val="ค่าขนส่งหิน"/>
      <sheetName val="ค่าขนส่งกรวดโม่"/>
      <sheetName val="ค่าขนส่งยาง"/>
      <sheetName val="ค่าขนส่งหินผสมAC"/>
      <sheetName val="ค่าขนส่งHM"/>
      <sheetName val="ค่าขนส่งเครืองจักร 80"/>
      <sheetName val="ค่าขนส่งacในสายทาง"/>
      <sheetName val="ค่าขนส่งเหล็ก"/>
      <sheetName val="ค่าขนส่งเหล็กรูปพรรณ"/>
      <sheetName val="ค่าขนส่งไม้แบบ"/>
      <sheetName val="ค่าขนส่งดินถม"/>
      <sheetName val="ค่าขนส่งลูกรังและวัสดุคัดเลือก"/>
      <sheetName val="ค่าขนส่งดินทิ้ง"/>
      <sheetName val="ค่าขนส่งไม้โครงสร้าง"/>
      <sheetName val="ค่าขนส่งท่อลอดกลม คสล."/>
      <sheetName val="กรอกข้อมูลประเมินราคาชุดที่2"/>
      <sheetName val="ประเภทงาน"/>
      <sheetName val="ถางป่าขุดตอขนาดเบา"/>
      <sheetName val="ถางป่าขุดตอขนาดกลาง"/>
      <sheetName val="ถางป่าขุดตอขนาดหนัก"/>
      <sheetName val="ดินคันทางขุดขน"/>
      <sheetName val="ดินคันทางบดทับ"/>
      <sheetName val="ดินขุดตัด"/>
      <sheetName val="ดินตัก"/>
      <sheetName val="หินผุขัดตัด"/>
      <sheetName val="หินผุดันตัก"/>
      <sheetName val="หินแข็งเจาะระเบิด"/>
      <sheetName val="หินแข็งดันตัก"/>
      <sheetName val="รองพื้นทางขุดขน"/>
      <sheetName val="รองพื้นทางผสมกับวัสดุอื่น"/>
      <sheetName val="รองพื้นทางบดทับ"/>
      <sheetName val="ไหล่ทางลูกรังผสมกับวัสดุอื่น"/>
      <sheetName val="ไหล่ทางลูกรังบดทับ"/>
      <sheetName val="พื้นทางผสมกับวัสดุอื่น"/>
      <sheetName val="พื้นทางบดทับ"/>
      <sheetName val="ตัดแต่งขั้นบันได"/>
      <sheetName val="ขุดรื้อลูกรัง10"/>
      <sheetName val="ขุดรื้อหินคลุก10"/>
      <sheetName val="ขุดรื้อผิวAC5"/>
      <sheetName val="ลาดยางPrimecoat"/>
      <sheetName val="ลาดยางTackcoat"/>
      <sheetName val="ชั้นเดียว(0.5)"/>
      <sheetName val="ชั้นเดียว(0.75)"/>
      <sheetName val="สองชั้น(0.75-0.375)"/>
      <sheetName val="สองชั้น(1-0.5)"/>
      <sheetName val="ชั้นเดียวเคลือบ(0.5)"/>
      <sheetName val="ชั้นเดียวเคลือบ(0.75)"/>
      <sheetName val="สองชั้นเคลือบ(0.75-0.375)"/>
      <sheetName val="สองชั้นเคลือบ(1-0.5)"/>
      <sheetName val="ค่าผสมAC"/>
      <sheetName val="ค่าปูผิวACบนPC"/>
      <sheetName val="ค่าปูผิวACบนTC"/>
      <sheetName val="ค่าผสมconc"/>
      <sheetName val="ค่าขนส่งconc"/>
      <sheetName val="ค่าแบบข้าง2ข้าง"/>
      <sheetName val="ค่าปูผิวconc"/>
      <sheetName val="ค่าตัดรอยต่อและหยอดยาง"/>
      <sheetName val="ค่าหยอดยางรอยต่อ"/>
      <sheetName val="ค่าบ่มผิวconc"/>
      <sheetName val="ค่าผสมวัสดุลูกรัง"/>
      <sheetName val="ค่าบ่มวัสดุลูกรัง"/>
      <sheetName val="ค่าผสมวัสดุหินคลุก"/>
      <sheetName val="ค่าบ่มวัสดุหินคลุก"/>
      <sheetName val="ค่าpipr15"/>
      <sheetName val="ค่าpipr20"/>
      <sheetName val="ค่าpipr25"/>
      <sheetName val="Slurry"/>
      <sheetName val="fogspray"/>
      <sheetName val="Sheet6"/>
      <sheetName val="ค่าดำเนินการและค่าเสื่อม"/>
      <sheetName val="สรุปค่าดำเนินการและค่าเสื่อม"/>
      <sheetName val="ปร.4สะพานคสล."/>
      <sheetName val="ปร.5สะพานคสล.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บันทึกประเมิน"/>
      <sheetName val="กรอกข้อมูลประเมินราคาชุดที1"/>
      <sheetName val="การแบ่งงวดงานCS"/>
      <sheetName val="รายละเอียดงวดงานที่แนบตามประกาศ"/>
      <sheetName val="รายละเอียดงวดงานใช้แนบสัญญาจ้าง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สรุปถอดแบบสะพาน"/>
      <sheetName val="FACTORFงานทาง"/>
      <sheetName val="FACTORFชุก1งานทาง"/>
      <sheetName val="FACTORFชุก2งานทาง"/>
      <sheetName val="สรุปFACTORFงานทาง"/>
      <sheetName val="FACTORFงานสะพาน"/>
      <sheetName val="DATA1_1"/>
      <sheetName val="DATA1_2"/>
      <sheetName val="DATA1_3"/>
      <sheetName val="DATA1_4"/>
      <sheetName val="DATA1_5"/>
      <sheetName val="DATA1_6"/>
      <sheetName val="DATA1_7"/>
      <sheetName val="DATA1_8"/>
      <sheetName val="DATA2"/>
      <sheetName val="DATA6"/>
      <sheetName val="DATA3"/>
      <sheetName val="DATA4"/>
      <sheetName val="DATA5"/>
      <sheetName val="ปริมาณวัสดุสะพาน"/>
      <sheetName val="bq"/>
      <sheetName val="CURVE"/>
      <sheetName val="รวมตารางคำนวณ"/>
      <sheetName val="11 ข้อมูลงานCon"/>
      <sheetName val="1.ตารางปริมาณงาน"/>
      <sheetName val="ส่วนใส่ปริมาณงาน"/>
      <sheetName val="ส่วนคำนวณ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"/>
      <sheetName val="รายละเอียดงาน"/>
      <sheetName val="ส่วนใส่ปริมาณงาน"/>
      <sheetName val="บันทึกข้อความ"/>
      <sheetName val="รายงานผลรายสัปดาห์"/>
      <sheetName val="S-CURVE"/>
      <sheetName val="หนังสือเร่งรัด"/>
      <sheetName val="แจ้งปรับเกิน 10%"/>
      <sheetName val="ส่วนคำนวณ1"/>
      <sheetName val="ส่วนคำนวณ2"/>
      <sheetName val="คำแนะนำการกรอก"/>
      <sheetName val="แนะนำการใส่ปริมาณ"/>
      <sheetName val="แนะนำการวางแผน"/>
      <sheetName val="รายการประมาณราคาต่อหน่วย"/>
      <sheetName val="ข้อมูลโครงการ"/>
      <sheetName val="bq"/>
      <sheetName val="ตารางปริมาณงาน"/>
      <sheetName val="CUR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"/>
      <sheetName val="รายละเอียดงาน"/>
      <sheetName val="ส่วนใส่ปริมาณงาน"/>
      <sheetName val="บันทึกข้อความ"/>
      <sheetName val="รายงานผลรายสัปดาห์"/>
      <sheetName val="S-CURVE"/>
      <sheetName val="หนังสือเร่งรัด"/>
      <sheetName val="แจ้งปรับเกิน 10%"/>
      <sheetName val="ส่วนคำนวณ1"/>
      <sheetName val="ส่วนคำนวณ2"/>
      <sheetName val="คำแนะนำการกรอก"/>
      <sheetName val="แนะนำการใส่ปริมาณ"/>
      <sheetName val="แนะนำการวางแผน"/>
      <sheetName val="ข้อมูลโครงการ"/>
      <sheetName val="CURVE"/>
      <sheetName val="bq"/>
      <sheetName val="รวมตารางคำนวณ"/>
      <sheetName val="Oil"/>
      <sheetName val="4.ค่าขนส่งดำเนินการเสื่อมราคา"/>
      <sheetName val="รายการประมาณราคาต่อหน่วย"/>
      <sheetName val="11 ข้อมูลงานC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2"/>
      <sheetName val="S3"/>
      <sheetName val="ข้อมูล"/>
      <sheetName val="ปร.4"/>
      <sheetName val="ปร.5"/>
      <sheetName val="คำนวณพื้นที่ดำเนินการ"/>
      <sheetName val="งานตีเส้น"/>
      <sheetName val="งานป้ายโครงการ"/>
      <sheetName val="ค่าธรรมเนียมทดสอบวัสดุ"/>
      <sheetName val="ท่อ คสล."/>
      <sheetName val="ราคาประเมินที่ดิน"/>
      <sheetName val="job mix "/>
      <sheetName val="Sheet2"/>
      <sheetName val="ส่วนใส่ปริมาณงาน"/>
      <sheetName val="ส่วนคำนวณ1"/>
      <sheetName val="Form1"/>
      <sheetName val="Form2"/>
      <sheetName val="F(ของเรา)"/>
      <sheetName val="รายการประมาณราคาต่อหน่วย"/>
      <sheetName val="แหล่งวัสดุ"/>
      <sheetName val="ค่าขนส่งและเสื่อมราคา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11 ข้อมูลงานCon"/>
      <sheetName val="10 ข้อมูลวัสดุ-ค่าดำเนิน"/>
      <sheetName val="12 ข้อมูลงานไม้แบบ"/>
      <sheetName val="ค่าเสื่อมราคาและค่าขนส่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ปร4ไม่ท่อ ม.2เพิ่มข้าสภายกเลิ"/>
      <sheetName val="ข้อมูล"/>
      <sheetName val="1.กลางปร4ไม่มีท่อ ม3"/>
      <sheetName val="ปร5กลางจริง"/>
      <sheetName val="ปร4ไม่มีท่อมีหูช้าง ม3มี2ช่วง"/>
      <sheetName val="1.กลางปร4รางไม่มีท่อ ม4"/>
      <sheetName val="1.กลางปร4ราง ม4 ซอยตัน"/>
      <sheetName val="1.กลางปร4ราง ม4ซอยตัน2"/>
      <sheetName val="ปร4ไม่มีท่อ ม4"/>
      <sheetName val="2.กลางปร4ท่อมีบ่อพัก ม5 (1)"/>
      <sheetName val="2.กลางปร4ท่อมีบ่อพัก ม5 (2)"/>
      <sheetName val="2.ปร4รางมีท่อ ม5"/>
      <sheetName val="ปร.4 ท่อ40 (2)"/>
      <sheetName val="1.กลางปร4ไม่มีท่อ ม6"/>
      <sheetName val="1.ราคาพาณิชย์จังหวัด"/>
      <sheetName val="ตารางโครงการงบประมาณ 64"/>
      <sheetName val="1.กลางปร4ไม่มีท่อ ม7ดอนปู่ตา"/>
      <sheetName val="2.กลางปร4ไม่มีท่อ ม8"/>
      <sheetName val="2.ปร4บุกเบิกลูกรัง ม9"/>
      <sheetName val="2.ปร4รางไม่มีท่อ ม9 (2)"/>
      <sheetName val="1.กลางปร4ไม่มีท่อ ม11"/>
      <sheetName val="1.กลางปร4ไม่มีท่อ ม11แก้หาย"/>
      <sheetName val="2.ปร4ขุดลอกห้วยโศกโพน ม11"/>
      <sheetName val="ปร4.ขุดลอกต้น"/>
      <sheetName val="ปร4บุกเบิกลูกรังต้น"/>
      <sheetName val="ปร4มีท่อ ม7"/>
      <sheetName val="ปร4ไม่มีท่อ ม8"/>
      <sheetName val="ประ4รางมีท่อ ม9"/>
      <sheetName val="ปร4ไม่มีท่อ ม5มี2ช่วง"/>
      <sheetName val="ปร4มีท่อ ม10มี2ช่วง"/>
      <sheetName val="ประ4ไม่มีท่อ ม11"/>
      <sheetName val="ปร4รางไม่มีท่อ ม12"/>
      <sheetName val="ราคาพาณิชย์จว.ถนน คสล."/>
      <sheetName val="ปร.5"/>
      <sheetName val="ปร4ต้น"/>
      <sheetName val="ปร5ต้น"/>
      <sheetName val="1.คำนวณพื้นที่ดำเนินการ"/>
      <sheetName val="ราคาลูกรังจากแหล่ง"/>
      <sheetName val="Sheet2"/>
      <sheetName val="ปรับปรุงลูกรัง"/>
      <sheetName val="ราคากลาง ปร4"/>
      <sheetName val="ส่วนใส่ปริมาณงาน"/>
      <sheetName val="ส่วนคำนวณ1"/>
      <sheetName val="CURVE"/>
      <sheetName val="รายการประมาณราคาต่อหน่วย"/>
      <sheetName val="11 ข้อมูลงานCon"/>
      <sheetName val="รวมตารางคำนวณ"/>
      <sheetName val="Oil"/>
      <sheetName val="ข้อมูลโครงการ"/>
      <sheetName val="b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สรุปคก.สะสมงบ66"/>
      <sheetName val="1.ข้อมูลโครงการ"/>
      <sheetName val="ค่าวัสดุที่แหล่ง"/>
      <sheetName val="2.ข้อมูลวัสดุ"/>
      <sheetName val="3.สืบท่อโฟมลูกรังทรายเหล็กป้าย"/>
      <sheetName val="Unit Cost"/>
      <sheetName val="4.Unit Cost2(งานคอนกรีต)แผง"/>
      <sheetName val="ม.1ท่อ คสล.0.40ม."/>
      <sheetName val="5.ม.5เหล่าม่วงหนองอั้ว"/>
      <sheetName val="งานป้ายโครงการ"/>
      <sheetName val="BOQ"/>
      <sheetName val="ปริมาณงาน"/>
      <sheetName val="สรุปวัสดุและค่าดำเนินการ"/>
      <sheetName val="ค่าขนส่งและเสื่อมราคา"/>
      <sheetName val="ระยะทางและค่าขนส่งคำนวณแล้ว"/>
      <sheetName val="ค่าดำเนินการ+ค่าเสื่อมราคา"/>
      <sheetName val="ข้อมูลงานคอนกรีต"/>
      <sheetName val="ข้อมูลค่าแรงงาน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ตารางดินไปห้วยน้ำเค็ม (2)"/>
      <sheetName val="10.Unit Cost2(งานคอนกรีต)พท.ทั้"/>
      <sheetName val="ค่าดำเนินการ+ค่าเสื่อม_2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ส่วนใส่ปริมาณงาน"/>
      <sheetName val="ส่วนคำนวณ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2">
          <cell r="M22">
            <v>198.57</v>
          </cell>
        </row>
        <row r="29">
          <cell r="I29">
            <v>78.290000000000006</v>
          </cell>
        </row>
      </sheetData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สรุปคก.สะสมงบ66"/>
      <sheetName val="1.ข้อมูลโครงการ"/>
      <sheetName val="ค่าวัสดุที่แหล่ง"/>
      <sheetName val="2.ข้อมูลวัสดุ"/>
      <sheetName val="3.สืบท่อโฟมลูกรังทรายเหล็กป้าย"/>
      <sheetName val="Unit Cost"/>
      <sheetName val="4.Unit Cost2(งานคอนกรีต)แผง"/>
      <sheetName val="ม.6ท่อ คสล.0.60ม."/>
      <sheetName val="งานป้ายโครงการ"/>
      <sheetName val="5.ม.5เหล่าม่วงหนองอั้ว"/>
      <sheetName val="BOQ"/>
      <sheetName val="ปริมาณงาน"/>
      <sheetName val="สรุปวัสดุและค่าดำเนินการ"/>
      <sheetName val="ค่าขนส่งและเสื่อมราคา"/>
      <sheetName val="ระยะทางและค่าขนส่งคำนวณแล้ว"/>
      <sheetName val="ค่าดำเนินการ+ค่าเสื่อมราคา"/>
      <sheetName val="ข้อมูลงานคอนกรีต"/>
      <sheetName val="ข้อมูลค่าแรงงาน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ตารางดินไปห้วยน้ำเค็ม (2)"/>
      <sheetName val="10.Unit Cost2(งานคอนกรีต)พท.ทั้"/>
      <sheetName val="ค่าดำเนินการ+ค่าเสื่อม_2"/>
      <sheetName val="ส่วนใส่ปริมาณงาน"/>
      <sheetName val="ส่วนคำนวณ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4">
          <cell r="B34" t="str">
            <v>- ตามคำสั่งองค์การบริหารส่วนตำบลเลขที่ 266/2567</v>
          </cell>
          <cell r="G34" t="str">
            <v>ลงวันที่ 11 เดือนมิถุนายน พ.ศ. 2567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กเฉพาะแห่ง"/>
      <sheetName val="รายละเอียดเฉพาะแห่ง"/>
      <sheetName val="FACTOR F"/>
      <sheetName val="แบบ ปร.5"/>
      <sheetName val="แบบ ปร.6"/>
      <sheetName val="ปร.5"/>
      <sheetName val="ปก"/>
      <sheetName val=" ปร. 5"/>
      <sheetName val="ปร.6"/>
      <sheetName val="ปร.6 (2)"/>
      <sheetName val="921001 "/>
      <sheetName val="2111200"/>
      <sheetName val="ท่อส่งน้ำดิบ"/>
      <sheetName val="ทดสอบดิน"/>
      <sheetName val="งานดิน "/>
      <sheetName val="ไฟฟ้า-ใน "/>
      <sheetName val="3412010"/>
      <sheetName val="ท่อน้ำดิบ"/>
      <sheetName val="ไฟฟ้า"/>
      <sheetName val="ท่อจ่ายน้ำ"/>
      <sheetName val="เครื่องสูบน้ำ "/>
      <sheetName val="เครื่องมือฯประปา"/>
      <sheetName val="กรด-ด่าง"/>
      <sheetName val="ขนส่ง"/>
      <sheetName val=" อำนวยการ 1"/>
      <sheetName val="ดอกเบี้ย,กำไร"/>
      <sheetName val="ท่อจ่ายน้ำ "/>
    </sheetNames>
    <sheetDataSet>
      <sheetData sheetId="0"/>
      <sheetData sheetId="1"/>
      <sheetData sheetId="2"/>
      <sheetData sheetId="3"/>
      <sheetData sheetId="4">
        <row r="4">
          <cell r="A4" t="str">
            <v>สำนักบริหารจัดการน้ำ  กรมทรัพยากรน้ำ</v>
          </cell>
        </row>
      </sheetData>
      <sheetData sheetId="5"/>
      <sheetData sheetId="6"/>
      <sheetData sheetId="7"/>
      <sheetData sheetId="8">
        <row r="5">
          <cell r="E5" t="str">
            <v>ส่วนบริหารจัดการน้ำ</v>
          </cell>
        </row>
        <row r="8">
          <cell r="B8" t="str">
            <v>สถานที่ก่อสร้าง….บ้านกรูด หมู่ที่ 1 ตำบลกรูด อำเภอกาญจนดิษฐ์ จังหวัดสุราษฎร์ธานี</v>
          </cell>
        </row>
        <row r="12">
          <cell r="I12" t="str">
            <v>เมื่อวันที่  25  เดือน กรกฎาคม  พ.ศ.  2551</v>
          </cell>
        </row>
      </sheetData>
      <sheetData sheetId="9"/>
      <sheetData sheetId="10"/>
      <sheetData sheetId="11"/>
      <sheetData sheetId="12"/>
      <sheetData sheetId="13">
        <row r="4">
          <cell r="C4" t="str">
            <v>นายประเสริฐ  บัวดำ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4"/>
      <sheetName val="ปร.5    "/>
      <sheetName val="งานป้ายโครงการ"/>
      <sheetName val="บันทึกสืบราคา"/>
      <sheetName val="รายการประมาณราคาต่อหน่วย"/>
      <sheetName val="แหล่งวัสดุ"/>
    </sheetNames>
    <sheetDataSet>
      <sheetData sheetId="0">
        <row r="3">
          <cell r="D3" t="str">
            <v>งานอาคาร/งานปรับปรุงระน้ำประปา</v>
          </cell>
        </row>
        <row r="4">
          <cell r="D4" t="str">
            <v>ปรัปปรุงระบบประปา(บาดาล)ภายในหมู่บ้าน ท่อ PVC  ชั้น 8.5 ขนาด 2 นิ้ว  ระยะทางไม่น้อยกว่า</v>
          </cell>
          <cell r="M4">
            <v>585</v>
          </cell>
        </row>
        <row r="5">
          <cell r="D5" t="str">
            <v>หมู่ที่ 5 บ้านเหล่าม่วง</v>
          </cell>
        </row>
        <row r="6">
          <cell r="D6" t="str">
            <v>อบต.ชด.ขบญ. 11/2567</v>
          </cell>
          <cell r="G6" t="str">
            <v>ตามรายละเอียดแบบแปลนองค์การบริหารส่วนตำบลเชียงดากำหนด</v>
          </cell>
        </row>
        <row r="7">
          <cell r="D7" t="str">
            <v>องค์การบริหารส่วนตำบลเชียงดา ตำบลเชียงดา อำเภอสร้างคอม จังหวัดอุดรธานี</v>
          </cell>
        </row>
        <row r="8">
          <cell r="D8" t="str">
            <v>เมื่อวันที่  1 เดือนสิงหาคม พ.ศ.2567</v>
          </cell>
          <cell r="J8" t="str">
            <v>ราคาน้ำมันโซล่า 33.00-33.99 บาท/ลิตร</v>
          </cell>
        </row>
        <row r="13">
          <cell r="B13" t="str">
            <v>- ท่อ PVC ชั้น 8.5 ปลายบาน Dia 2 นิ้ว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ข้อมูลโครงการ"/>
      <sheetName val="DATA1"/>
      <sheetName val="DATA2"/>
      <sheetName val="DATA3"/>
      <sheetName val="DATA4"/>
      <sheetName val="DATA5"/>
      <sheetName val="DATA6"/>
      <sheetName val="DATAbox1"/>
      <sheetName val="DATAbox2"/>
      <sheetName val="DATABRD1"/>
      <sheetName val="เสาเข็มBRD1"/>
      <sheetName val="ตอม่อBRD1"/>
      <sheetName val="พื้นBRD1"/>
      <sheetName val="ราวริมBRD1"/>
      <sheetName val="ราวกลางBRD1"/>
      <sheetName val="ราวBRD1"/>
      <sheetName val="APBRD1"/>
      <sheetName val="CSPBRD1"/>
      <sheetName val="ปริมาณbox1"/>
      <sheetName val="ปริมาณbox2"/>
      <sheetName val="ข้อมูลน้ำมัน"/>
      <sheetName val="กำแพงปากท่อ"/>
      <sheetName val="ตารางแหล่งวัสดุ"/>
      <sheetName val="การเชื่อมโยงค่าระยะทาง"/>
      <sheetName val="ปก"/>
      <sheetName val="ปร.5"/>
      <sheetName val="ปร.4"/>
      <sheetName val="ค่างานต้นทุน"/>
      <sheetName val="ใบสนอราคา"/>
      <sheetName val="บันทึกต่อรอง"/>
      <sheetName val="ตารางการแบ่งงวดงาน"/>
      <sheetName val="สรุปการแบ่งงวด"/>
      <sheetName val="รายละเอียดงวดงาน"/>
      <sheetName val="รายละเยดงวดในประกาศ"/>
      <sheetName val="สรุปค่าขนส่ง"/>
      <sheetName val="ข้อมูลpop_up"/>
      <sheetName val="ขน10_12.50"/>
      <sheetName val="ขน10พ่วง_12.50"/>
      <sheetName val="ขน10_13.50"/>
      <sheetName val="ขน10พ่วง_13.50"/>
      <sheetName val="ขน10_14.50"/>
      <sheetName val="ขน10พ่วง_14.50"/>
      <sheetName val="ขน10_15.50"/>
      <sheetName val="ขน10พ่วง_15.50"/>
      <sheetName val="ขน10"/>
      <sheetName val="ขน10พ่วง"/>
      <sheetName val="ค่าเสื่อมราคา"/>
      <sheetName val="Factor_Fงานทาง"/>
      <sheetName val="Factor_Fงานสะพาน"/>
      <sheetName val="Sheet1"/>
      <sheetName val="Cal Fto"/>
      <sheetName val="แหล่งวัสดุ"/>
      <sheetName val="12 ข้อมูลงานไม้แบบ"/>
      <sheetName val="Form1"/>
      <sheetName val="ค่าขนส่งและเสื่อมราค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4 (อาร์ม)"/>
      <sheetName val="ปร5 (อาร์ม) "/>
      <sheetName val="ปร4(ผอ.บ๋า"/>
      <sheetName val="ปร5(ผอ.บ๋า)"/>
      <sheetName val="2.ข้อมูลวัสดุ"/>
      <sheetName val="3.สืบท่อโฟมลูกรังทรายเหล็กป้าย"/>
      <sheetName val="2.วัสดุมวลรวมสีอาคาร สนง.1"/>
      <sheetName val="งานป้ายโครงการ"/>
      <sheetName val="คิด"/>
      <sheetName val="Sheet1"/>
      <sheetName val="Form1"/>
      <sheetName val="Form2"/>
      <sheetName val="แหล่งวัสดุ"/>
      <sheetName val="4.ค่าขนส่งดำเนินการเสื่อมราคา"/>
      <sheetName val="หกล้อขนส่ง"/>
      <sheetName val="ข้อมูลภูมิอากาศ ข้อมูลขนส่ง"/>
      <sheetName val="ค่าเสื่อมราคา "/>
    </sheetNames>
    <sheetDataSet>
      <sheetData sheetId="0" refreshError="1">
        <row r="31">
          <cell r="B31" t="str">
            <v>- ข้อต่อท่อ PVC ตรง Dia 2 นิ้ว</v>
          </cell>
        </row>
        <row r="32">
          <cell r="B32" t="str">
            <v>- บอลวาร์ล PVC ขนาด Dai 2 นิ้ว</v>
          </cell>
        </row>
        <row r="33">
          <cell r="B33" t="str">
            <v>- ข้องอ PVC 90 ขนาด Dai 2 นิ้ว</v>
          </cell>
        </row>
        <row r="34">
          <cell r="B34" t="str">
            <v>- สามทาง 2 นิ้ว ลด 1/2 นิ้ว</v>
          </cell>
        </row>
        <row r="35">
          <cell r="B35" t="str">
            <v>- ฝาปิด PVC ขนาด 2 นิ้ว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.ข้อมูลวัสดุ"/>
      <sheetName val="3.สืบท่อโฟมลูกรังทรายเหล็กป้าย"/>
      <sheetName val="3.สืบสี"/>
      <sheetName val="วัสดุมวลรวมทาสีอาคาร "/>
      <sheetName val="วัสดุมวลรวมก่ออิฐฉาบปูน"/>
      <sheetName val="ปร4 ครุภัณฑ์"/>
      <sheetName val="ปร4 โครงสร้าง"/>
      <sheetName val="ปร5 ข(ครุภัณฑ์)"/>
      <sheetName val="ปร5 ก(โครงสร้าง)"/>
      <sheetName val="ปร6 (อาร์ม)"/>
      <sheetName val="งานป้ายโครงการ"/>
      <sheetName val="คิดตอม่อ"/>
      <sheetName val="คิดรั้วเก่า"/>
      <sheetName val="หกล้อขนส่ง"/>
      <sheetName val="ข้อมูลภูมิอากาศ ข้อมูลขนส่ง"/>
      <sheetName val="ค่าเสื่อมราคา "/>
      <sheetName val="11 ข้อมูลงานCon"/>
      <sheetName val="10 ข้อมูลวัสดุ-ค่าดำเนิน"/>
      <sheetName val="12 ข้อมูลงานไม้แบบ"/>
    </sheetNames>
    <sheetDataSet>
      <sheetData sheetId="0">
        <row r="7">
          <cell r="D7">
            <v>22725</v>
          </cell>
        </row>
        <row r="8">
          <cell r="D8">
            <v>21631.97</v>
          </cell>
        </row>
        <row r="9">
          <cell r="D9">
            <v>21257.200000000001</v>
          </cell>
        </row>
      </sheetData>
      <sheetData sheetId="1">
        <row r="18">
          <cell r="G18">
            <v>1913.9</v>
          </cell>
        </row>
      </sheetData>
      <sheetData sheetId="2"/>
      <sheetData sheetId="3"/>
      <sheetData sheetId="4"/>
      <sheetData sheetId="5"/>
      <sheetData sheetId="6">
        <row r="8">
          <cell r="A8" t="str">
            <v xml:space="preserve">กำหนดราคากลางวันที่      </v>
          </cell>
        </row>
      </sheetData>
      <sheetData sheetId="7"/>
      <sheetData sheetId="8"/>
      <sheetData sheetId="9">
        <row r="17">
          <cell r="G17">
            <v>2006000</v>
          </cell>
        </row>
      </sheetData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.ข้อมูลวัสดุ"/>
      <sheetName val="3.สืบสี"/>
      <sheetName val="บันทึกสืบฝ้าเพดาน"/>
      <sheetName val="3.สืบท่อโฟมลูกรังทรายเหล็กป้าย "/>
      <sheetName val="วัสดุมวลรวมทาสีอาคาร "/>
      <sheetName val="วัสดุมวลรวมก่ออิฐฉาบปูน"/>
      <sheetName val="วัสดุมวลรวมปูกระเบื้อง"/>
      <sheetName val="วัสดุมวลรวมบุผนังกระเบื้อง "/>
      <sheetName val="วัสดุมวลรวมผนังกระเบื้องแผ่นเ"/>
      <sheetName val="วัสดุมวลรวมฝ้าเพดาน"/>
      <sheetName val="ปร4 ครุภัณฑ์"/>
      <sheetName val="ปร4 โครงสร้าง"/>
      <sheetName val="ปร5 ข ครุภัณฑ์"/>
      <sheetName val="ปร5 ก โครงสร้าง "/>
      <sheetName val="ปร6 "/>
      <sheetName val="ปร4 ครุภัณฑ์ กลาง"/>
      <sheetName val="ปร5 ข ครุภัณฑ์ กลาง"/>
      <sheetName val="ปร4 โครงสร้างกลาง"/>
      <sheetName val="ปร5 ก โครงสร้างกลาง"/>
      <sheetName val="ปร6กลาง"/>
      <sheetName val="1.ข้อมูลโครงการ"/>
      <sheetName val="ปริมาณงาน "/>
      <sheetName val="งานป้ายโครงการ"/>
      <sheetName val="คิดโรงจอดรถ"/>
      <sheetName val="คิดรั้วใหม่"/>
      <sheetName val="คิดรั้วเก่า"/>
      <sheetName val="ไม้แบบ"/>
      <sheetName val="แผ่นงาน22"/>
      <sheetName val="ข้อมูลโครงการ"/>
      <sheetName val="ค่าขนส่งและเสื่อมราคา"/>
    </sheetNames>
    <sheetDataSet>
      <sheetData sheetId="0">
        <row r="16">
          <cell r="D16">
            <v>2336.4499999999998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.ข้อมูลวัสดุ"/>
      <sheetName val="3.สืบท่อโฟมลูกรังทรายเหล็กป้าย"/>
      <sheetName val="ปร4 โครงสร้าง"/>
      <sheetName val="ปร5 ก โครงสร้าง "/>
      <sheetName val="ปร4 ครุภัณฑ์"/>
      <sheetName val="ปร5 ข ครุภัณฑ์"/>
      <sheetName val="ปร6 (อาร์ม)"/>
      <sheetName val="ปริมาณงาน"/>
      <sheetName val="วัสดุมวลรวมก่ออิฐฉาบปูน"/>
      <sheetName val="วัสดุมวลรวมปูกระเบื้อง"/>
      <sheetName val="วัสดุมวลรวมทาสีอาคาร "/>
      <sheetName val="วัสดุมวลรวมบุผนังกระเบื้อง "/>
      <sheetName val="บันทึกสืบฝ้าเพดาน"/>
      <sheetName val="วัสดุมวลรวมฝ้าเพดาน"/>
      <sheetName val="ทับหลังเสาเอ็น"/>
      <sheetName val="งานป้ายโครงการ"/>
      <sheetName val="3.สืบสี"/>
      <sheetName val="คิดรั้วเก่า"/>
    </sheetNames>
    <sheetDataSet>
      <sheetData sheetId="0"/>
      <sheetData sheetId="1">
        <row r="12">
          <cell r="G12">
            <v>254.65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9">
          <cell r="J9">
            <v>398</v>
          </cell>
        </row>
      </sheetData>
      <sheetData sheetId="17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อ่านก่อน"/>
      <sheetName val="สรุปคก.สะสมงบ66"/>
      <sheetName val="1.ข้อมูลโครงการ"/>
      <sheetName val="ค่าวัสดุที่แหล่ง"/>
      <sheetName val="2.ข้อมูลวัสดุ"/>
      <sheetName val="3.สืบท่อโฟมลูกรังทรายเหล็กป้าย"/>
      <sheetName val="3.สืบท่อโฟมลูกรังทรายเหล็กป้าย "/>
      <sheetName val="Unit Cost"/>
      <sheetName val="4.Unit Cost2(งานคอนกรีต)แผง"/>
      <sheetName val="ม.1ท่อ คสล.0.40ม."/>
      <sheetName val="5.ม.5เหล่าม่วงหนองอั้ว"/>
      <sheetName val="งานป้ายโครงการ"/>
      <sheetName val="BOQ"/>
      <sheetName val="ปริมาณงาน"/>
      <sheetName val="สรุปวัสดุและค่าดำเนินการ"/>
      <sheetName val="ค่าขนส่งและเสื่อมราคา"/>
      <sheetName val="ระยะทางและค่าขนส่งคำนวณแล้ว"/>
      <sheetName val="ค่าดำเนินการ+ค่าเสื่อมราคา"/>
      <sheetName val="ข้อมูลงานคอนกรีต"/>
      <sheetName val="ข้อมูลค่าแรงงาน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ตารางดินไปห้วยน้ำเค็ม (2)"/>
      <sheetName val="10.Unit Cost2(งานคอนกรีต)พท.ทั้"/>
      <sheetName val="ค่าดำเนินการ+ค่าเสื่อม_2"/>
      <sheetName val="ส่วนใส่ปริมาณงาน"/>
      <sheetName val="ส่วนคำนวณ1"/>
      <sheetName val="ข้อมูลโครงการ"/>
    </sheetNames>
    <sheetDataSet>
      <sheetData sheetId="0"/>
      <sheetData sheetId="1"/>
      <sheetData sheetId="2"/>
      <sheetData sheetId="3"/>
      <sheetData sheetId="4"/>
      <sheetData sheetId="5"/>
      <sheetData sheetId="6">
        <row r="18">
          <cell r="F18">
            <v>44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.ข้อมูลวัสดุ"/>
      <sheetName val="3.สืบท่อโฟมลูกรังทรายเหล็กป้าย"/>
      <sheetName val="3.สืบสี"/>
      <sheetName val="บันทึกสืบฝ้าเพดาน"/>
      <sheetName val="วัสดุมวลรวมทาสีอาคาร "/>
      <sheetName val="วัสดุมวลรวมก่ออิฐฉาบปูน"/>
      <sheetName val="วัสดุมวลรวมปูกระเบื้อง"/>
      <sheetName val="วัสดุมวลรวมบุผนังกระเบื้อง "/>
      <sheetName val="วัสดุมวลรวมฝ้าเพดาน"/>
      <sheetName val="ปร4 ครุภัณฑ์"/>
      <sheetName val="ปร4 โครงสร้าง"/>
      <sheetName val="ปร5 ข ครุภัณฑ์"/>
      <sheetName val="ปร5 ก โครงสร้าง "/>
      <sheetName val="ปร6 (อาร์ม)"/>
      <sheetName val="งานป้ายโครงการ"/>
      <sheetName val="คิดรั้วใหม่"/>
      <sheetName val="คิดรั้วเก่า"/>
      <sheetName val="ส่วนใส่ปริมาณงาน"/>
      <sheetName val="ส่วนคำนวณ1"/>
      <sheetName val="ข้อมูลโครงการ"/>
      <sheetName val="CURVE"/>
      <sheetName val="ค่าขนส่งและเสื่อมราค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 t="str">
            <v>หมู่ที่ 1 บ้านเชียงดา</v>
          </cell>
        </row>
      </sheetData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.ข้อมูลวัสดุ"/>
      <sheetName val="3.สืบท่อโฟมลูกรังทรายเหล็กป้าย"/>
      <sheetName val="3.สืบสี"/>
      <sheetName val="วัสดุมวลรวมทาสีอาคาร "/>
      <sheetName val="วัสดุมวลรวมก่ออิฐฉาบปูน"/>
      <sheetName val="ปร4 ครุภัณฑ์"/>
      <sheetName val="ปร4 โครงสร้าง"/>
      <sheetName val="ปร5 ข(อาร์ม) "/>
      <sheetName val="ปร5 ก(อาร์ม)"/>
      <sheetName val="ปร6 (อาร์ม)"/>
      <sheetName val="งานป้ายโครงการ"/>
      <sheetName val="คิดรั้วใหม่"/>
      <sheetName val="คิดรั้วเก่า"/>
      <sheetName val="CURVE"/>
    </sheetNames>
    <sheetDataSet>
      <sheetData sheetId="0"/>
      <sheetData sheetId="1"/>
      <sheetData sheetId="2"/>
      <sheetData sheetId="3"/>
      <sheetData sheetId="4"/>
      <sheetData sheetId="5">
        <row r="3">
          <cell r="D3" t="str">
            <v>งานครุภัณฑ์/งานอาคาร</v>
          </cell>
        </row>
      </sheetData>
      <sheetData sheetId="6">
        <row r="7">
          <cell r="D7" t="str">
            <v>องค์การบริหารส่วนตำบลเชียงดา ตำบลเชียงดา อำเภอสร้างคอม จังหวัดอุดรธานี</v>
          </cell>
        </row>
      </sheetData>
      <sheetData sheetId="7">
        <row r="4">
          <cell r="C4" t="str">
            <v>งานครุภัณฑ์/งานอาคาร</v>
          </cell>
        </row>
      </sheetData>
      <sheetData sheetId="8">
        <row r="4">
          <cell r="C4" t="str">
            <v>งานโครงสร้างวิศวกรรม/งานอาคาร</v>
          </cell>
        </row>
      </sheetData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.วัสดุมวลรวมก่ออิฐฉาบปูน"/>
      <sheetName val="3.วัสดุมวลรวมปูกระเบื้อง"/>
      <sheetName val="4.วัสดุมวลรวมสีน้ำ"/>
      <sheetName val="5.ปร.4"/>
      <sheetName val="6.ปร.5(ข)"/>
      <sheetName val="7.ปร.5(ก)"/>
      <sheetName val="8.ปร.6"/>
      <sheetName val="Sheet3"/>
      <sheetName val="bq"/>
      <sheetName val="ค่าขนส่งและเสื่อมราคา"/>
      <sheetName val="รายการประมาณราคาต่อหน่วย"/>
      <sheetName val="CURVE"/>
    </sheetNames>
    <sheetDataSet>
      <sheetData sheetId="0">
        <row r="17">
          <cell r="F17">
            <v>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ะมาณการ"/>
      <sheetName val="สรุปผล"/>
      <sheetName val="สรุปผล ปร5"/>
      <sheetName val="ประมาณราคาปร4"/>
      <sheetName val="กลาง ปร5"/>
      <sheetName val="กลางปร4 "/>
      <sheetName val="ปร5 รองป."/>
      <sheetName val="ปร4 รองป."/>
      <sheetName val="กลาง ปร5 รองป."/>
      <sheetName val="กลางปร4 รองป."/>
      <sheetName val="กลางปร5 รองป. (2)"/>
      <sheetName val="กลางปร4 รองป. (2)"/>
      <sheetName val="ปร5 รองป. (2)"/>
      <sheetName val="ปร4 รองป. (2)"/>
      <sheetName val="กลางปร5 รองป. (3)จริง2กย.65 "/>
      <sheetName val="กลางรองป. (3)จริง2กย.65"/>
      <sheetName val="วัสดุมวลรวมสีน้ำกับฝ้าเพดาน"/>
      <sheetName val="บันทึกสืบ"/>
      <sheetName val="ปร5 รองป. (3)จริง2กย.65"/>
      <sheetName val="ปร4 รองป. (3)จริง2กย.65"/>
      <sheetName val="วัสดุมวลรวมสีน้ำกับฝ้าเพดาน (2)"/>
      <sheetName val="บันทึกสืบ (2)"/>
      <sheetName val="กลางปร5 รองป. (4)จริง5ตค.65"/>
      <sheetName val="ปร4 รองป. (4)จริง5ตค.65"/>
      <sheetName val="กลางปร5 รองป. (4)5ตค.65ลดรแพร"/>
      <sheetName val="ปร4 รองป. (4)จริง5ตค.65ลดราแพร"/>
      <sheetName val="ที่มาค่าขุดดิน"/>
      <sheetName val="รายการประมาณราคาต่อหน่วย"/>
      <sheetName val="CURVE"/>
      <sheetName val="ข้อมูลโครงการ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2">
          <cell r="C2" t="str">
            <v>ซ่อมแซมอาคารศูนย์พัฒนาเด็กเล็กหายโศก หมู่ที่ 10 บ้านหายโศก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ค่าขนส่งด้วยรถพ่วง"/>
      <sheetName val="ค่าขนส่ง"/>
      <sheetName val="ค่าขนส่งด้วยหกล้อ"/>
      <sheetName val="ค่างานต้นทุน"/>
      <sheetName val="ข้อมูลขนส่ง"/>
      <sheetName val="F(ของเรา)"/>
      <sheetName val="Cal Fto"/>
      <sheetName val="ตารางปริมาณงา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ก"/>
      <sheetName val="ปร.5 "/>
      <sheetName val="ปร.4"/>
      <sheetName val="ข้อมูลราคาวัสดุ"/>
      <sheetName val="ข้อมูลขนส่ง"/>
      <sheetName val="ค่างานต้นทุน"/>
      <sheetName val="งานดิน"/>
      <sheetName val="สรุปงานดิน"/>
      <sheetName val="คำนวณ"/>
      <sheetName val="คำนวณผิว"/>
      <sheetName val="Wi-แยก"/>
      <sheetName val="จราจร "/>
      <sheetName val="ท่อ "/>
      <sheetName val="หาค่า Factor  f"/>
      <sheetName val="ค่าเสื่อมราคา"/>
      <sheetName val="ค่าขนส่ง"/>
      <sheetName val="ค่าขนส่งด้วยรถพ่วง"/>
      <sheetName val="ค่าขนส่งด้วยรถพ่วง (2)"/>
      <sheetName val="ค่าขนส่งด้วยหกล้อ"/>
      <sheetName val="คิดค่ากำแพงปากท่อ"/>
      <sheetName val="แหล่งวัสดุ"/>
      <sheetName val="EST."/>
      <sheetName val="EST.2"/>
      <sheetName val="FORMB"/>
      <sheetName val="INFOB"/>
      <sheetName val="COSTB"/>
      <sheetName val="Module3"/>
      <sheetName val="กรอกราคาวัสดุที่แหล่ง"/>
      <sheetName val="Sheet1"/>
      <sheetName val="0.00-3.00"/>
      <sheetName val="วัสดุAPPROACH1"/>
      <sheetName val="วัสดุAPPROACH2"/>
      <sheetName val="HWBOX"/>
      <sheetName val="วัสดุในเสาเข็มsay"/>
      <sheetName val="วัสดุตอม่อตับริมกว้าง9ม_1"/>
      <sheetName val="2_สรุปปริมาณวสดุSLOPE PROT."/>
      <sheetName val="1.5_สรุปปริมาณวัสดุSLOPE PROT."/>
      <sheetName val="วัสดุตอม่อตับกลางที่1"/>
      <sheetName val="ค่าขนส่ง10ล้อลากพ่วง"/>
      <sheetName val="ค่าดำเนินการและค่าเสื่อมราคา"/>
      <sheetName val="ข้อมูลคำนวณ1"/>
      <sheetName val="Multi_Box 1"/>
      <sheetName val="ข้อมูลสะพาน1"/>
      <sheetName val="ข้อมูลโครงการ"/>
      <sheetName val="ขนส่งวัสดุใช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B37"/>
  <sheetViews>
    <sheetView showGridLines="0" topLeftCell="M1" workbookViewId="0">
      <selection activeCell="D9" sqref="D9"/>
    </sheetView>
  </sheetViews>
  <sheetFormatPr defaultColWidth="8" defaultRowHeight="18"/>
  <cols>
    <col min="1" max="1" width="5.44140625" style="125" customWidth="1"/>
    <col min="2" max="2" width="34.109375" style="125" customWidth="1"/>
    <col min="3" max="3" width="6.44140625" style="125" customWidth="1"/>
    <col min="4" max="4" width="10.77734375" style="125" customWidth="1"/>
    <col min="5" max="5" width="8.21875" style="125" customWidth="1"/>
    <col min="6" max="10" width="7.21875" style="125" customWidth="1"/>
    <col min="11" max="11" width="9.6640625" style="125" customWidth="1"/>
    <col min="12" max="13" width="7.33203125" style="125" customWidth="1"/>
    <col min="14" max="16" width="11.21875" style="125" customWidth="1"/>
    <col min="17" max="17" width="8" style="125"/>
    <col min="18" max="18" width="8" style="125" customWidth="1"/>
    <col min="19" max="36" width="6.6640625" style="125" customWidth="1"/>
    <col min="37" max="37" width="9.21875" style="125" customWidth="1"/>
    <col min="38" max="38" width="6.6640625" style="125" customWidth="1"/>
    <col min="39" max="39" width="7" style="125" customWidth="1"/>
    <col min="40" max="40" width="8.44140625" style="125" customWidth="1"/>
    <col min="41" max="53" width="8" style="125"/>
    <col min="54" max="54" width="7.88671875" style="125" hidden="1" customWidth="1"/>
    <col min="55" max="16384" width="8" style="125"/>
  </cols>
  <sheetData>
    <row r="2" spans="1:54">
      <c r="R2" s="125" t="s">
        <v>0</v>
      </c>
    </row>
    <row r="3" spans="1:54" ht="21">
      <c r="B3" s="1803" t="s">
        <v>1</v>
      </c>
      <c r="C3" s="1804"/>
      <c r="D3" s="1804"/>
      <c r="E3" s="1804"/>
      <c r="F3" s="1804"/>
      <c r="G3" s="1804"/>
      <c r="H3" s="1804"/>
      <c r="I3" s="1804"/>
      <c r="J3" s="1804"/>
      <c r="K3" s="1804"/>
      <c r="L3" s="1804"/>
      <c r="M3" s="1804"/>
      <c r="N3" s="1804"/>
      <c r="O3" s="1804"/>
      <c r="P3" s="1805"/>
      <c r="R3" s="1567" t="s">
        <v>2</v>
      </c>
      <c r="S3" s="1806" t="s">
        <v>3</v>
      </c>
      <c r="T3" s="1807"/>
      <c r="U3" s="1807"/>
      <c r="V3" s="1807"/>
      <c r="W3" s="1807"/>
      <c r="X3" s="1808"/>
      <c r="Y3" s="1809" t="s">
        <v>4</v>
      </c>
      <c r="Z3" s="1810"/>
      <c r="AA3" s="1810"/>
      <c r="AB3" s="1810"/>
      <c r="AC3" s="1810"/>
      <c r="AD3" s="1811"/>
      <c r="AE3" s="1812" t="s">
        <v>5</v>
      </c>
      <c r="AF3" s="1813"/>
      <c r="AG3" s="1813"/>
      <c r="AH3" s="1813"/>
      <c r="AI3" s="1813"/>
      <c r="AJ3" s="1814"/>
      <c r="AK3" s="1575" t="s">
        <v>6</v>
      </c>
      <c r="AL3" s="1576" t="s">
        <v>7</v>
      </c>
      <c r="AM3" s="1576" t="s">
        <v>8</v>
      </c>
      <c r="AN3" s="1575" t="s">
        <v>9</v>
      </c>
    </row>
    <row r="4" spans="1:54">
      <c r="B4" s="1845" t="s">
        <v>10</v>
      </c>
      <c r="C4" s="1845" t="s">
        <v>11</v>
      </c>
      <c r="D4" s="1537" t="s">
        <v>12</v>
      </c>
      <c r="E4" s="1815" t="s">
        <v>13</v>
      </c>
      <c r="F4" s="1816"/>
      <c r="G4" s="1816"/>
      <c r="H4" s="1816"/>
      <c r="I4" s="1816"/>
      <c r="J4" s="1817"/>
      <c r="K4" s="1537" t="s">
        <v>14</v>
      </c>
      <c r="L4" s="1848" t="s">
        <v>15</v>
      </c>
      <c r="M4" s="1849"/>
      <c r="N4" s="1848" t="s">
        <v>16</v>
      </c>
      <c r="O4" s="1854"/>
      <c r="P4" s="1849"/>
      <c r="R4" s="274" t="s">
        <v>17</v>
      </c>
      <c r="S4" s="1818" t="s">
        <v>18</v>
      </c>
      <c r="T4" s="1819"/>
      <c r="U4" s="1820"/>
      <c r="V4" s="1821" t="s">
        <v>19</v>
      </c>
      <c r="W4" s="1822"/>
      <c r="X4" s="1823"/>
      <c r="Y4" s="1818" t="s">
        <v>18</v>
      </c>
      <c r="Z4" s="1819"/>
      <c r="AA4" s="1820"/>
      <c r="AB4" s="1821" t="s">
        <v>19</v>
      </c>
      <c r="AC4" s="1822"/>
      <c r="AD4" s="1823"/>
      <c r="AE4" s="1818" t="s">
        <v>18</v>
      </c>
      <c r="AF4" s="1819"/>
      <c r="AG4" s="1820"/>
      <c r="AH4" s="1821" t="s">
        <v>19</v>
      </c>
      <c r="AI4" s="1822"/>
      <c r="AJ4" s="1823"/>
      <c r="AK4" s="306" t="s">
        <v>20</v>
      </c>
      <c r="AL4" s="274" t="s">
        <v>8</v>
      </c>
      <c r="AM4" s="274" t="s">
        <v>21</v>
      </c>
      <c r="AN4" s="306" t="s">
        <v>22</v>
      </c>
    </row>
    <row r="5" spans="1:54">
      <c r="B5" s="1846"/>
      <c r="C5" s="1846"/>
      <c r="D5" s="1538"/>
      <c r="E5" s="1815" t="s">
        <v>18</v>
      </c>
      <c r="F5" s="1816"/>
      <c r="G5" s="1817"/>
      <c r="H5" s="1816" t="s">
        <v>19</v>
      </c>
      <c r="I5" s="1816"/>
      <c r="J5" s="1817"/>
      <c r="K5" s="1538"/>
      <c r="L5" s="1850"/>
      <c r="M5" s="1851"/>
      <c r="N5" s="1850"/>
      <c r="O5" s="1855"/>
      <c r="P5" s="1851"/>
      <c r="R5" s="274" t="s">
        <v>23</v>
      </c>
      <c r="S5" s="277" t="s">
        <v>24</v>
      </c>
      <c r="T5" s="277" t="s">
        <v>25</v>
      </c>
      <c r="U5" s="277" t="s">
        <v>26</v>
      </c>
      <c r="V5" s="277" t="s">
        <v>24</v>
      </c>
      <c r="W5" s="277" t="s">
        <v>25</v>
      </c>
      <c r="X5" s="277" t="s">
        <v>26</v>
      </c>
      <c r="Y5" s="277" t="s">
        <v>24</v>
      </c>
      <c r="Z5" s="277" t="s">
        <v>25</v>
      </c>
      <c r="AA5" s="277" t="s">
        <v>26</v>
      </c>
      <c r="AB5" s="277" t="s">
        <v>24</v>
      </c>
      <c r="AC5" s="277" t="s">
        <v>25</v>
      </c>
      <c r="AD5" s="277" t="s">
        <v>26</v>
      </c>
      <c r="AE5" s="277" t="s">
        <v>24</v>
      </c>
      <c r="AF5" s="277" t="s">
        <v>25</v>
      </c>
      <c r="AG5" s="277" t="s">
        <v>26</v>
      </c>
      <c r="AH5" s="277" t="s">
        <v>24</v>
      </c>
      <c r="AI5" s="277" t="s">
        <v>25</v>
      </c>
      <c r="AJ5" s="277" t="s">
        <v>26</v>
      </c>
      <c r="AK5" s="306" t="s">
        <v>23</v>
      </c>
      <c r="AL5" s="274" t="s">
        <v>27</v>
      </c>
      <c r="AM5" s="274" t="s">
        <v>28</v>
      </c>
      <c r="AN5" s="306" t="s">
        <v>29</v>
      </c>
      <c r="BB5" s="125" t="s">
        <v>30</v>
      </c>
    </row>
    <row r="6" spans="1:54" ht="19.8">
      <c r="B6" s="1847"/>
      <c r="C6" s="1847"/>
      <c r="D6" s="277" t="s">
        <v>31</v>
      </c>
      <c r="E6" s="277" t="s">
        <v>24</v>
      </c>
      <c r="F6" s="277" t="s">
        <v>25</v>
      </c>
      <c r="G6" s="277" t="s">
        <v>26</v>
      </c>
      <c r="H6" s="277" t="s">
        <v>24</v>
      </c>
      <c r="I6" s="277" t="s">
        <v>25</v>
      </c>
      <c r="J6" s="277" t="s">
        <v>26</v>
      </c>
      <c r="K6" s="277" t="s">
        <v>23</v>
      </c>
      <c r="L6" s="1852"/>
      <c r="M6" s="1853"/>
      <c r="N6" s="1852"/>
      <c r="O6" s="1856"/>
      <c r="P6" s="1853"/>
      <c r="R6" s="1568" t="s">
        <v>32</v>
      </c>
      <c r="S6" s="1569">
        <v>1</v>
      </c>
      <c r="T6" s="1569">
        <v>2.12</v>
      </c>
      <c r="U6" s="1569">
        <v>2.56</v>
      </c>
      <c r="V6" s="1569">
        <v>1.24</v>
      </c>
      <c r="W6" s="1569">
        <v>2.36</v>
      </c>
      <c r="X6" s="1569">
        <v>2.8</v>
      </c>
      <c r="Y6" s="1569">
        <v>1</v>
      </c>
      <c r="Z6" s="1569">
        <v>1.95</v>
      </c>
      <c r="AA6" s="1569">
        <v>2.52</v>
      </c>
      <c r="AB6" s="1569">
        <v>1.23</v>
      </c>
      <c r="AC6" s="1569">
        <v>2.1800000000000002</v>
      </c>
      <c r="AD6" s="1569">
        <v>2.75</v>
      </c>
      <c r="AE6" s="1569">
        <v>1</v>
      </c>
      <c r="AF6" s="1569">
        <v>2.13</v>
      </c>
      <c r="AG6" s="1569">
        <v>0</v>
      </c>
      <c r="AH6" s="1569">
        <v>1.2</v>
      </c>
      <c r="AI6" s="1569">
        <v>2.33</v>
      </c>
      <c r="AJ6" s="1569">
        <v>0</v>
      </c>
      <c r="AK6" s="1577"/>
      <c r="AL6" s="1578"/>
      <c r="AM6" s="1579" t="s">
        <v>8</v>
      </c>
      <c r="AN6" s="1580" t="s">
        <v>33</v>
      </c>
      <c r="BB6" s="125" t="s">
        <v>34</v>
      </c>
    </row>
    <row r="7" spans="1:54" customFormat="1">
      <c r="A7" s="125"/>
      <c r="B7" s="1539" t="s">
        <v>35</v>
      </c>
      <c r="C7" s="1540" t="s">
        <v>36</v>
      </c>
      <c r="D7" s="1541">
        <v>23149.77</v>
      </c>
      <c r="E7" s="1542">
        <v>40</v>
      </c>
      <c r="F7" s="1541"/>
      <c r="G7" s="1541"/>
      <c r="H7" s="1541"/>
      <c r="I7" s="1541"/>
      <c r="J7" s="1541"/>
      <c r="K7" s="1558">
        <v>40</v>
      </c>
      <c r="L7" s="1824" t="s">
        <v>37</v>
      </c>
      <c r="M7" s="1825"/>
      <c r="N7" s="1826" t="s">
        <v>38</v>
      </c>
      <c r="O7" s="1827"/>
      <c r="P7" s="1828"/>
      <c r="Q7" s="125"/>
      <c r="R7" s="284">
        <v>40</v>
      </c>
      <c r="S7" s="1570">
        <v>0</v>
      </c>
      <c r="T7" s="1570">
        <v>0</v>
      </c>
      <c r="U7" s="1570">
        <v>0</v>
      </c>
      <c r="V7" s="1570">
        <v>0</v>
      </c>
      <c r="W7" s="1570">
        <v>0</v>
      </c>
      <c r="X7" s="1570">
        <v>0</v>
      </c>
      <c r="Y7" s="1570">
        <v>0</v>
      </c>
      <c r="Z7" s="1570">
        <v>0</v>
      </c>
      <c r="AA7" s="1570">
        <v>0</v>
      </c>
      <c r="AB7" s="1570">
        <v>0</v>
      </c>
      <c r="AC7" s="1570">
        <v>0</v>
      </c>
      <c r="AD7" s="1570">
        <v>0</v>
      </c>
      <c r="AE7" s="1570">
        <v>40</v>
      </c>
      <c r="AF7" s="1570">
        <v>0</v>
      </c>
      <c r="AG7" s="1570">
        <v>0</v>
      </c>
      <c r="AH7" s="1570">
        <v>0</v>
      </c>
      <c r="AI7" s="1570">
        <v>0</v>
      </c>
      <c r="AJ7" s="1570">
        <v>0</v>
      </c>
      <c r="AK7" s="307">
        <v>40</v>
      </c>
      <c r="AL7" s="1581">
        <v>1</v>
      </c>
      <c r="AM7" s="1570">
        <v>62.83</v>
      </c>
      <c r="AN7" s="310">
        <v>62.83</v>
      </c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 t="s">
        <v>37</v>
      </c>
    </row>
    <row r="8" spans="1:54" customFormat="1">
      <c r="A8" s="125"/>
      <c r="B8" s="1539" t="s">
        <v>39</v>
      </c>
      <c r="C8" s="1540" t="s">
        <v>36</v>
      </c>
      <c r="D8" s="1543">
        <v>22287.48</v>
      </c>
      <c r="E8" s="1541">
        <v>40</v>
      </c>
      <c r="F8" s="1541"/>
      <c r="G8" s="1541"/>
      <c r="H8" s="1541"/>
      <c r="I8" s="1541"/>
      <c r="J8" s="1541"/>
      <c r="K8" s="1558">
        <v>40</v>
      </c>
      <c r="L8" s="1829" t="s">
        <v>37</v>
      </c>
      <c r="M8" s="1830"/>
      <c r="N8" s="1831" t="s">
        <v>38</v>
      </c>
      <c r="O8" s="1832"/>
      <c r="P8" s="1833"/>
      <c r="Q8" s="125"/>
      <c r="R8" s="284">
        <v>40</v>
      </c>
      <c r="S8" s="1570">
        <v>0</v>
      </c>
      <c r="T8" s="1570">
        <v>0</v>
      </c>
      <c r="U8" s="1570">
        <v>0</v>
      </c>
      <c r="V8" s="1570">
        <v>0</v>
      </c>
      <c r="W8" s="1570">
        <v>0</v>
      </c>
      <c r="X8" s="1570">
        <v>0</v>
      </c>
      <c r="Y8" s="1570">
        <v>0</v>
      </c>
      <c r="Z8" s="1570">
        <v>0</v>
      </c>
      <c r="AA8" s="1570">
        <v>0</v>
      </c>
      <c r="AB8" s="1570">
        <v>0</v>
      </c>
      <c r="AC8" s="1570">
        <v>0</v>
      </c>
      <c r="AD8" s="1570">
        <v>0</v>
      </c>
      <c r="AE8" s="1570">
        <v>40</v>
      </c>
      <c r="AF8" s="1570">
        <v>0</v>
      </c>
      <c r="AG8" s="1570">
        <v>0</v>
      </c>
      <c r="AH8" s="1570">
        <v>0</v>
      </c>
      <c r="AI8" s="1570">
        <v>0</v>
      </c>
      <c r="AJ8" s="1570">
        <v>0</v>
      </c>
      <c r="AK8" s="307">
        <v>40</v>
      </c>
      <c r="AL8" s="1581">
        <v>1</v>
      </c>
      <c r="AM8" s="1570">
        <v>62.83</v>
      </c>
      <c r="AN8" s="310">
        <v>62.83</v>
      </c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</row>
    <row r="9" spans="1:54" customFormat="1">
      <c r="A9" s="125"/>
      <c r="B9" s="1539" t="s">
        <v>40</v>
      </c>
      <c r="C9" s="1540" t="s">
        <v>36</v>
      </c>
      <c r="D9" s="1541">
        <v>22099.07</v>
      </c>
      <c r="E9" s="1541">
        <v>40</v>
      </c>
      <c r="F9" s="1541"/>
      <c r="G9" s="1541"/>
      <c r="H9" s="1541"/>
      <c r="I9" s="1541"/>
      <c r="J9" s="1541"/>
      <c r="K9" s="1558">
        <v>40</v>
      </c>
      <c r="L9" s="1829" t="s">
        <v>37</v>
      </c>
      <c r="M9" s="1830"/>
      <c r="N9" s="1831" t="s">
        <v>38</v>
      </c>
      <c r="O9" s="1832"/>
      <c r="P9" s="1833"/>
      <c r="Q9" s="125"/>
      <c r="R9" s="284">
        <v>40</v>
      </c>
      <c r="S9" s="1570">
        <v>0</v>
      </c>
      <c r="T9" s="1570">
        <v>0</v>
      </c>
      <c r="U9" s="1570">
        <v>0</v>
      </c>
      <c r="V9" s="1570">
        <v>0</v>
      </c>
      <c r="W9" s="1570">
        <v>0</v>
      </c>
      <c r="X9" s="1570">
        <v>0</v>
      </c>
      <c r="Y9" s="1570">
        <v>0</v>
      </c>
      <c r="Z9" s="1570">
        <v>0</v>
      </c>
      <c r="AA9" s="1570">
        <v>0</v>
      </c>
      <c r="AB9" s="1570">
        <v>0</v>
      </c>
      <c r="AC9" s="1570">
        <v>0</v>
      </c>
      <c r="AD9" s="1570">
        <v>0</v>
      </c>
      <c r="AE9" s="1570">
        <v>40</v>
      </c>
      <c r="AF9" s="1570">
        <v>0</v>
      </c>
      <c r="AG9" s="1570">
        <v>0</v>
      </c>
      <c r="AH9" s="1570">
        <v>0</v>
      </c>
      <c r="AI9" s="1570">
        <v>0</v>
      </c>
      <c r="AJ9" s="1570">
        <v>0</v>
      </c>
      <c r="AK9" s="307">
        <v>40</v>
      </c>
      <c r="AL9" s="1581">
        <v>1</v>
      </c>
      <c r="AM9" s="1570">
        <v>62.83</v>
      </c>
      <c r="AN9" s="310">
        <v>62.83</v>
      </c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</row>
    <row r="10" spans="1:54" customFormat="1">
      <c r="A10" s="125"/>
      <c r="B10" s="1539" t="s">
        <v>41</v>
      </c>
      <c r="C10" s="1540" t="s">
        <v>36</v>
      </c>
      <c r="D10" s="1541">
        <v>21829.119999999999</v>
      </c>
      <c r="E10" s="1541">
        <v>66</v>
      </c>
      <c r="F10" s="1541"/>
      <c r="G10" s="1541"/>
      <c r="H10" s="1541"/>
      <c r="I10" s="1541"/>
      <c r="J10" s="1541"/>
      <c r="K10" s="1558">
        <v>66</v>
      </c>
      <c r="L10" s="1829" t="s">
        <v>37</v>
      </c>
      <c r="M10" s="1830"/>
      <c r="N10" s="1831" t="str">
        <f>N7</f>
        <v>ราคาพาณิชย์จังหวัดหนองคาย</v>
      </c>
      <c r="O10" s="1832"/>
      <c r="P10" s="1833"/>
      <c r="Q10" s="125"/>
      <c r="R10" s="284">
        <v>66</v>
      </c>
      <c r="S10" s="1570">
        <v>0</v>
      </c>
      <c r="T10" s="1570">
        <v>0</v>
      </c>
      <c r="U10" s="1570">
        <v>0</v>
      </c>
      <c r="V10" s="1570">
        <v>0</v>
      </c>
      <c r="W10" s="1570">
        <v>0</v>
      </c>
      <c r="X10" s="1570">
        <v>0</v>
      </c>
      <c r="Y10" s="1570">
        <v>0</v>
      </c>
      <c r="Z10" s="1570">
        <v>0</v>
      </c>
      <c r="AA10" s="1570">
        <v>0</v>
      </c>
      <c r="AB10" s="1570">
        <v>0</v>
      </c>
      <c r="AC10" s="1570">
        <v>0</v>
      </c>
      <c r="AD10" s="1570">
        <v>0</v>
      </c>
      <c r="AE10" s="1570">
        <v>66</v>
      </c>
      <c r="AF10" s="1570">
        <v>0</v>
      </c>
      <c r="AG10" s="1570">
        <v>0</v>
      </c>
      <c r="AH10" s="1570">
        <v>0</v>
      </c>
      <c r="AI10" s="1570">
        <v>0</v>
      </c>
      <c r="AJ10" s="1570">
        <v>0</v>
      </c>
      <c r="AK10" s="307">
        <v>66</v>
      </c>
      <c r="AL10" s="1581">
        <v>1</v>
      </c>
      <c r="AM10" s="1570">
        <v>103.27</v>
      </c>
      <c r="AN10" s="310">
        <v>103.27</v>
      </c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</row>
    <row r="11" spans="1:54" customFormat="1">
      <c r="A11" s="125"/>
      <c r="B11" s="1539" t="s">
        <v>42</v>
      </c>
      <c r="C11" s="1540" t="s">
        <v>36</v>
      </c>
      <c r="D11" s="1541">
        <v>33196.26</v>
      </c>
      <c r="E11" s="1541">
        <v>66</v>
      </c>
      <c r="F11" s="1541"/>
      <c r="G11" s="1541"/>
      <c r="H11" s="1541"/>
      <c r="I11" s="1541"/>
      <c r="J11" s="1541"/>
      <c r="K11" s="1558">
        <v>66</v>
      </c>
      <c r="L11" s="1829" t="s">
        <v>37</v>
      </c>
      <c r="M11" s="1830"/>
      <c r="N11" s="1826" t="s">
        <v>43</v>
      </c>
      <c r="O11" s="1827"/>
      <c r="P11" s="1828"/>
      <c r="Q11" s="125"/>
      <c r="R11" s="284">
        <v>66</v>
      </c>
      <c r="S11" s="1570">
        <v>0</v>
      </c>
      <c r="T11" s="1570">
        <v>0</v>
      </c>
      <c r="U11" s="1570">
        <v>0</v>
      </c>
      <c r="V11" s="1570">
        <v>0</v>
      </c>
      <c r="W11" s="1570">
        <v>0</v>
      </c>
      <c r="X11" s="1570">
        <v>0</v>
      </c>
      <c r="Y11" s="1570">
        <v>0</v>
      </c>
      <c r="Z11" s="1570">
        <v>0</v>
      </c>
      <c r="AA11" s="1570">
        <v>0</v>
      </c>
      <c r="AB11" s="1570">
        <v>0</v>
      </c>
      <c r="AC11" s="1570">
        <v>0</v>
      </c>
      <c r="AD11" s="1570">
        <v>0</v>
      </c>
      <c r="AE11" s="1570">
        <v>66</v>
      </c>
      <c r="AF11" s="1570">
        <v>0</v>
      </c>
      <c r="AG11" s="1570">
        <v>0</v>
      </c>
      <c r="AH11" s="1570">
        <v>0</v>
      </c>
      <c r="AI11" s="1570">
        <v>0</v>
      </c>
      <c r="AJ11" s="1570">
        <v>0</v>
      </c>
      <c r="AK11" s="307">
        <v>66</v>
      </c>
      <c r="AL11" s="1581">
        <v>1</v>
      </c>
      <c r="AM11" s="1570">
        <v>103.27</v>
      </c>
      <c r="AN11" s="310">
        <v>103.27</v>
      </c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</row>
    <row r="12" spans="1:54" customFormat="1">
      <c r="A12" s="125"/>
      <c r="B12" s="1539" t="s">
        <v>44</v>
      </c>
      <c r="C12" s="1540" t="s">
        <v>36</v>
      </c>
      <c r="D12" s="1541">
        <v>21783.37</v>
      </c>
      <c r="E12" s="1541">
        <v>40</v>
      </c>
      <c r="F12" s="1541"/>
      <c r="G12" s="1541"/>
      <c r="H12" s="1541"/>
      <c r="I12" s="1541"/>
      <c r="J12" s="1541"/>
      <c r="K12" s="1558">
        <v>40</v>
      </c>
      <c r="L12" s="1829" t="s">
        <v>37</v>
      </c>
      <c r="M12" s="1830"/>
      <c r="N12" s="1831" t="s">
        <v>38</v>
      </c>
      <c r="O12" s="1832"/>
      <c r="P12" s="1833"/>
      <c r="Q12" s="125"/>
      <c r="R12" s="284">
        <v>40</v>
      </c>
      <c r="S12" s="1570">
        <v>0</v>
      </c>
      <c r="T12" s="1570">
        <v>0</v>
      </c>
      <c r="U12" s="1570">
        <v>0</v>
      </c>
      <c r="V12" s="1570">
        <v>0</v>
      </c>
      <c r="W12" s="1570">
        <v>0</v>
      </c>
      <c r="X12" s="1570">
        <v>0</v>
      </c>
      <c r="Y12" s="1570">
        <v>0</v>
      </c>
      <c r="Z12" s="1570">
        <v>0</v>
      </c>
      <c r="AA12" s="1570">
        <v>0</v>
      </c>
      <c r="AB12" s="1570">
        <v>0</v>
      </c>
      <c r="AC12" s="1570">
        <v>0</v>
      </c>
      <c r="AD12" s="1570">
        <v>0</v>
      </c>
      <c r="AE12" s="1570">
        <v>40</v>
      </c>
      <c r="AF12" s="1570">
        <v>0</v>
      </c>
      <c r="AG12" s="1570">
        <v>0</v>
      </c>
      <c r="AH12" s="1570">
        <v>0</v>
      </c>
      <c r="AI12" s="1570">
        <v>0</v>
      </c>
      <c r="AJ12" s="1570">
        <v>0</v>
      </c>
      <c r="AK12" s="307">
        <v>40</v>
      </c>
      <c r="AL12" s="1581">
        <v>1</v>
      </c>
      <c r="AM12" s="1570">
        <v>62.83</v>
      </c>
      <c r="AN12" s="310">
        <v>62.83</v>
      </c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</row>
    <row r="13" spans="1:54" customFormat="1">
      <c r="A13" s="125"/>
      <c r="B13" s="1539" t="s">
        <v>45</v>
      </c>
      <c r="C13" s="1540" t="s">
        <v>36</v>
      </c>
      <c r="D13" s="1541">
        <v>21587.26</v>
      </c>
      <c r="E13" s="1541">
        <v>40</v>
      </c>
      <c r="F13" s="1541"/>
      <c r="G13" s="1541"/>
      <c r="H13" s="1541"/>
      <c r="I13" s="1541"/>
      <c r="J13" s="1541"/>
      <c r="K13" s="1558">
        <v>40</v>
      </c>
      <c r="L13" s="1829" t="s">
        <v>37</v>
      </c>
      <c r="M13" s="1830"/>
      <c r="N13" s="1831" t="s">
        <v>38</v>
      </c>
      <c r="O13" s="1832"/>
      <c r="P13" s="1833"/>
      <c r="Q13" s="125"/>
      <c r="R13" s="284">
        <v>40</v>
      </c>
      <c r="S13" s="1570">
        <v>0</v>
      </c>
      <c r="T13" s="1570">
        <v>0</v>
      </c>
      <c r="U13" s="1570">
        <v>0</v>
      </c>
      <c r="V13" s="1570">
        <v>0</v>
      </c>
      <c r="W13" s="1570">
        <v>0</v>
      </c>
      <c r="X13" s="1570">
        <v>0</v>
      </c>
      <c r="Y13" s="1570">
        <v>0</v>
      </c>
      <c r="Z13" s="1570">
        <v>0</v>
      </c>
      <c r="AA13" s="1570">
        <v>0</v>
      </c>
      <c r="AB13" s="1570">
        <v>0</v>
      </c>
      <c r="AC13" s="1570">
        <v>0</v>
      </c>
      <c r="AD13" s="1570">
        <v>0</v>
      </c>
      <c r="AE13" s="1570">
        <v>40</v>
      </c>
      <c r="AF13" s="1570">
        <v>0</v>
      </c>
      <c r="AG13" s="1570">
        <v>0</v>
      </c>
      <c r="AH13" s="1570">
        <v>0</v>
      </c>
      <c r="AI13" s="1570">
        <v>0</v>
      </c>
      <c r="AJ13" s="1570">
        <v>0</v>
      </c>
      <c r="AK13" s="307">
        <v>40</v>
      </c>
      <c r="AL13" s="1581">
        <v>1</v>
      </c>
      <c r="AM13" s="1570">
        <v>62.83</v>
      </c>
      <c r="AN13" s="310">
        <v>62.83</v>
      </c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</row>
    <row r="14" spans="1:54" customFormat="1">
      <c r="A14" s="125"/>
      <c r="B14" s="1539" t="s">
        <v>46</v>
      </c>
      <c r="C14" s="1540" t="s">
        <v>47</v>
      </c>
      <c r="D14" s="1541">
        <f>'3.สืบท่อโฟมลูกรังทรายเหล็กป้าย'!G20</f>
        <v>24.29</v>
      </c>
      <c r="E14" s="1834" t="s">
        <v>48</v>
      </c>
      <c r="F14" s="1835"/>
      <c r="G14" s="1835"/>
      <c r="H14" s="1835"/>
      <c r="I14" s="1835"/>
      <c r="J14" s="1835"/>
      <c r="K14" s="1835"/>
      <c r="L14" s="1835"/>
      <c r="M14" s="1836"/>
      <c r="N14" s="1831" t="s">
        <v>49</v>
      </c>
      <c r="O14" s="1832"/>
      <c r="P14" s="1833"/>
      <c r="Q14" s="125"/>
      <c r="R14" s="1571"/>
      <c r="S14" s="1572"/>
      <c r="T14" s="1572"/>
      <c r="U14" s="1572"/>
      <c r="V14" s="1572"/>
      <c r="W14" s="1572"/>
      <c r="X14" s="1572"/>
      <c r="Y14" s="1572"/>
      <c r="Z14" s="1572"/>
      <c r="AA14" s="1572"/>
      <c r="AB14" s="1572"/>
      <c r="AC14" s="1572"/>
      <c r="AD14" s="1572"/>
      <c r="AE14" s="1572"/>
      <c r="AF14" s="1572"/>
      <c r="AG14" s="1572"/>
      <c r="AH14" s="1572"/>
      <c r="AI14" s="1572"/>
      <c r="AJ14" s="1572"/>
      <c r="AK14" s="1571"/>
      <c r="AL14" s="1582"/>
      <c r="AM14" s="1572"/>
      <c r="AN14" s="1583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</row>
    <row r="15" spans="1:54" customFormat="1">
      <c r="A15" s="125"/>
      <c r="B15" s="1539" t="s">
        <v>50</v>
      </c>
      <c r="C15" s="1540" t="s">
        <v>51</v>
      </c>
      <c r="D15" s="1541">
        <v>51.4</v>
      </c>
      <c r="E15" s="1837" t="s">
        <v>48</v>
      </c>
      <c r="F15" s="1838"/>
      <c r="G15" s="1838"/>
      <c r="H15" s="1838"/>
      <c r="I15" s="1838"/>
      <c r="J15" s="1838"/>
      <c r="K15" s="1838"/>
      <c r="L15" s="1838"/>
      <c r="M15" s="1839"/>
      <c r="N15" s="1826" t="s">
        <v>52</v>
      </c>
      <c r="O15" s="1827"/>
      <c r="P15" s="1828"/>
      <c r="Q15" s="125"/>
      <c r="R15" s="1573"/>
      <c r="S15" s="1574"/>
      <c r="T15" s="1574"/>
      <c r="U15" s="1574"/>
      <c r="V15" s="1574"/>
      <c r="W15" s="1574"/>
      <c r="X15" s="1574"/>
      <c r="Y15" s="1574"/>
      <c r="Z15" s="1574"/>
      <c r="AA15" s="1574"/>
      <c r="AB15" s="1574"/>
      <c r="AC15" s="1574"/>
      <c r="AD15" s="1574"/>
      <c r="AE15" s="1574"/>
      <c r="AF15" s="1574"/>
      <c r="AG15" s="1574"/>
      <c r="AH15" s="1574"/>
      <c r="AI15" s="1574"/>
      <c r="AJ15" s="1574"/>
      <c r="AK15" s="1573"/>
      <c r="AL15" s="1584"/>
      <c r="AM15" s="1574"/>
      <c r="AN15" s="158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</row>
    <row r="16" spans="1:54" customFormat="1">
      <c r="A16" s="125"/>
      <c r="B16" s="1539" t="s">
        <v>53</v>
      </c>
      <c r="C16" s="1540" t="s">
        <v>36</v>
      </c>
      <c r="D16" s="1541">
        <v>2336.4499999999998</v>
      </c>
      <c r="E16" s="1542">
        <v>66</v>
      </c>
      <c r="F16" s="1541"/>
      <c r="G16" s="1541"/>
      <c r="H16" s="1541"/>
      <c r="I16" s="1541"/>
      <c r="J16" s="1541"/>
      <c r="K16" s="1558">
        <v>66</v>
      </c>
      <c r="L16" s="1824" t="s">
        <v>37</v>
      </c>
      <c r="M16" s="1825"/>
      <c r="N16" s="1826" t="s">
        <v>43</v>
      </c>
      <c r="O16" s="1827"/>
      <c r="P16" s="1828"/>
      <c r="Q16" s="125"/>
      <c r="R16" s="284">
        <v>66</v>
      </c>
      <c r="S16" s="1570">
        <v>0</v>
      </c>
      <c r="T16" s="1570">
        <v>0</v>
      </c>
      <c r="U16" s="1570">
        <v>0</v>
      </c>
      <c r="V16" s="1570">
        <v>0</v>
      </c>
      <c r="W16" s="1570">
        <v>0</v>
      </c>
      <c r="X16" s="1570">
        <v>0</v>
      </c>
      <c r="Y16" s="1570">
        <v>0</v>
      </c>
      <c r="Z16" s="1570">
        <v>0</v>
      </c>
      <c r="AA16" s="1570">
        <v>0</v>
      </c>
      <c r="AB16" s="1570">
        <v>0</v>
      </c>
      <c r="AC16" s="1570">
        <v>0</v>
      </c>
      <c r="AD16" s="1570">
        <v>0</v>
      </c>
      <c r="AE16" s="1570">
        <v>66</v>
      </c>
      <c r="AF16" s="1570">
        <v>0</v>
      </c>
      <c r="AG16" s="1570">
        <v>0</v>
      </c>
      <c r="AH16" s="1570">
        <v>0</v>
      </c>
      <c r="AI16" s="1570">
        <v>0</v>
      </c>
      <c r="AJ16" s="1570">
        <v>0</v>
      </c>
      <c r="AK16" s="307">
        <v>66</v>
      </c>
      <c r="AL16" s="1581">
        <v>1</v>
      </c>
      <c r="AM16" s="1570">
        <v>103.27</v>
      </c>
      <c r="AN16" s="310">
        <v>103.27</v>
      </c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</row>
    <row r="17" spans="1:54" customFormat="1">
      <c r="A17" s="125"/>
      <c r="B17" s="1539" t="s">
        <v>54</v>
      </c>
      <c r="C17" s="1540" t="s">
        <v>55</v>
      </c>
      <c r="D17" s="1541">
        <v>258</v>
      </c>
      <c r="E17" s="1542">
        <v>110</v>
      </c>
      <c r="F17" s="1541"/>
      <c r="G17" s="1541"/>
      <c r="H17" s="1541"/>
      <c r="I17" s="1541"/>
      <c r="J17" s="1541"/>
      <c r="K17" s="1558">
        <v>110</v>
      </c>
      <c r="L17" s="1824" t="s">
        <v>34</v>
      </c>
      <c r="M17" s="1825"/>
      <c r="N17" s="1840" t="s">
        <v>56</v>
      </c>
      <c r="O17" s="1841"/>
      <c r="P17" s="1842"/>
      <c r="Q17" s="125"/>
      <c r="R17" s="284">
        <v>110</v>
      </c>
      <c r="S17" s="1570">
        <v>0</v>
      </c>
      <c r="T17" s="1570">
        <v>0</v>
      </c>
      <c r="U17" s="1570">
        <v>0</v>
      </c>
      <c r="V17" s="1570">
        <v>0</v>
      </c>
      <c r="W17" s="1570">
        <v>0</v>
      </c>
      <c r="X17" s="1570">
        <v>0</v>
      </c>
      <c r="Y17" s="1570">
        <v>110</v>
      </c>
      <c r="Z17" s="1570">
        <v>0</v>
      </c>
      <c r="AA17" s="1570">
        <v>0</v>
      </c>
      <c r="AB17" s="1570">
        <v>0</v>
      </c>
      <c r="AC17" s="1570">
        <v>0</v>
      </c>
      <c r="AD17" s="1570">
        <v>0</v>
      </c>
      <c r="AE17" s="1570">
        <v>0</v>
      </c>
      <c r="AF17" s="1570">
        <v>0</v>
      </c>
      <c r="AG17" s="1570">
        <v>0</v>
      </c>
      <c r="AH17" s="1570">
        <v>0</v>
      </c>
      <c r="AI17" s="1570">
        <v>0</v>
      </c>
      <c r="AJ17" s="1570">
        <v>0</v>
      </c>
      <c r="AK17" s="307">
        <v>110</v>
      </c>
      <c r="AL17" s="1581">
        <v>1</v>
      </c>
      <c r="AM17" s="1570">
        <v>385.94</v>
      </c>
      <c r="AN17" s="310">
        <v>385.94</v>
      </c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</row>
    <row r="18" spans="1:54" customFormat="1">
      <c r="A18" s="125"/>
      <c r="B18" s="1539" t="s">
        <v>57</v>
      </c>
      <c r="C18" s="1540" t="s">
        <v>55</v>
      </c>
      <c r="D18" s="1541">
        <v>177.38</v>
      </c>
      <c r="E18" s="1541">
        <v>110</v>
      </c>
      <c r="F18" s="1541"/>
      <c r="G18" s="1541"/>
      <c r="H18" s="1541"/>
      <c r="I18" s="1541"/>
      <c r="J18" s="1541"/>
      <c r="K18" s="1558">
        <v>110</v>
      </c>
      <c r="L18" s="1843" t="s">
        <v>34</v>
      </c>
      <c r="M18" s="1844"/>
      <c r="N18" s="1840" t="s">
        <v>56</v>
      </c>
      <c r="O18" s="1841"/>
      <c r="P18" s="1842"/>
      <c r="Q18" s="125"/>
      <c r="R18" s="284">
        <v>110</v>
      </c>
      <c r="S18" s="1570">
        <v>0</v>
      </c>
      <c r="T18" s="1570">
        <v>0</v>
      </c>
      <c r="U18" s="1570">
        <v>0</v>
      </c>
      <c r="V18" s="1570">
        <v>0</v>
      </c>
      <c r="W18" s="1570">
        <v>0</v>
      </c>
      <c r="X18" s="1570">
        <v>0</v>
      </c>
      <c r="Y18" s="1570">
        <v>110</v>
      </c>
      <c r="Z18" s="1570">
        <v>0</v>
      </c>
      <c r="AA18" s="1570">
        <v>0</v>
      </c>
      <c r="AB18" s="1570">
        <v>0</v>
      </c>
      <c r="AC18" s="1570">
        <v>0</v>
      </c>
      <c r="AD18" s="1570">
        <v>0</v>
      </c>
      <c r="AE18" s="1570">
        <v>0</v>
      </c>
      <c r="AF18" s="1570">
        <v>0</v>
      </c>
      <c r="AG18" s="1570">
        <v>0</v>
      </c>
      <c r="AH18" s="1570">
        <v>0</v>
      </c>
      <c r="AI18" s="1570">
        <v>0</v>
      </c>
      <c r="AJ18" s="1570">
        <v>0</v>
      </c>
      <c r="AK18" s="307">
        <v>110</v>
      </c>
      <c r="AL18" s="1581">
        <v>1</v>
      </c>
      <c r="AM18" s="1570">
        <v>385.94</v>
      </c>
      <c r="AN18" s="310">
        <v>385.94</v>
      </c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</row>
    <row r="19" spans="1:54" customFormat="1">
      <c r="A19" s="125"/>
      <c r="B19" s="1544" t="s">
        <v>58</v>
      </c>
      <c r="C19" s="1545" t="s">
        <v>55</v>
      </c>
      <c r="D19" s="1542">
        <v>150</v>
      </c>
      <c r="E19" s="1542">
        <v>20</v>
      </c>
      <c r="F19" s="1541"/>
      <c r="G19" s="1541"/>
      <c r="H19" s="1541"/>
      <c r="I19" s="1541"/>
      <c r="J19" s="1541"/>
      <c r="K19" s="1558">
        <v>20</v>
      </c>
      <c r="L19" s="1843" t="s">
        <v>34</v>
      </c>
      <c r="M19" s="1844"/>
      <c r="N19" s="1831" t="s">
        <v>59</v>
      </c>
      <c r="O19" s="1832"/>
      <c r="P19" s="1833"/>
      <c r="Q19" s="125"/>
      <c r="R19" s="284">
        <v>20</v>
      </c>
      <c r="S19" s="1570">
        <v>0</v>
      </c>
      <c r="T19" s="1570">
        <v>0</v>
      </c>
      <c r="U19" s="1570">
        <v>0</v>
      </c>
      <c r="V19" s="1570">
        <v>0</v>
      </c>
      <c r="W19" s="1570">
        <v>0</v>
      </c>
      <c r="X19" s="1570">
        <v>0</v>
      </c>
      <c r="Y19" s="1570">
        <v>20</v>
      </c>
      <c r="Z19" s="1570">
        <v>0</v>
      </c>
      <c r="AA19" s="1570">
        <v>0</v>
      </c>
      <c r="AB19" s="1570">
        <v>0</v>
      </c>
      <c r="AC19" s="1570">
        <v>0</v>
      </c>
      <c r="AD19" s="1570">
        <v>0</v>
      </c>
      <c r="AE19" s="1570">
        <v>0</v>
      </c>
      <c r="AF19" s="1570">
        <v>0</v>
      </c>
      <c r="AG19" s="1570">
        <v>0</v>
      </c>
      <c r="AH19" s="1570">
        <v>0</v>
      </c>
      <c r="AI19" s="1570">
        <v>0</v>
      </c>
      <c r="AJ19" s="1570">
        <v>0</v>
      </c>
      <c r="AK19" s="307">
        <v>20</v>
      </c>
      <c r="AL19" s="1581">
        <v>1</v>
      </c>
      <c r="AM19" s="1570">
        <v>71.59</v>
      </c>
      <c r="AN19" s="310">
        <v>71.59</v>
      </c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</row>
    <row r="20" spans="1:54" customFormat="1">
      <c r="A20" s="125"/>
      <c r="B20" s="1544" t="s">
        <v>60</v>
      </c>
      <c r="C20" s="1545" t="s">
        <v>55</v>
      </c>
      <c r="D20" s="1542">
        <v>67</v>
      </c>
      <c r="E20" s="1837" t="s">
        <v>48</v>
      </c>
      <c r="F20" s="1838"/>
      <c r="G20" s="1838"/>
      <c r="H20" s="1838"/>
      <c r="I20" s="1838"/>
      <c r="J20" s="1838"/>
      <c r="K20" s="1838"/>
      <c r="L20" s="1838"/>
      <c r="M20" s="1839"/>
      <c r="N20" s="1831" t="s">
        <v>61</v>
      </c>
      <c r="O20" s="1832"/>
      <c r="P20" s="1833"/>
      <c r="Q20" s="125"/>
      <c r="R20" s="284">
        <v>0</v>
      </c>
      <c r="S20" s="1570">
        <v>0</v>
      </c>
      <c r="T20" s="1570">
        <v>0</v>
      </c>
      <c r="U20" s="1570">
        <v>0</v>
      </c>
      <c r="V20" s="1570">
        <v>0</v>
      </c>
      <c r="W20" s="1570">
        <v>0</v>
      </c>
      <c r="X20" s="1570">
        <v>0</v>
      </c>
      <c r="Y20" s="1570">
        <v>0</v>
      </c>
      <c r="Z20" s="1570">
        <v>0</v>
      </c>
      <c r="AA20" s="1570">
        <v>0</v>
      </c>
      <c r="AB20" s="1570">
        <v>0</v>
      </c>
      <c r="AC20" s="1570">
        <v>0</v>
      </c>
      <c r="AD20" s="1570">
        <v>0</v>
      </c>
      <c r="AE20" s="1570">
        <v>0</v>
      </c>
      <c r="AF20" s="1570">
        <v>0</v>
      </c>
      <c r="AG20" s="1570">
        <v>0</v>
      </c>
      <c r="AH20" s="1570">
        <v>0</v>
      </c>
      <c r="AI20" s="1570">
        <v>0</v>
      </c>
      <c r="AJ20" s="1570">
        <v>0</v>
      </c>
      <c r="AK20" s="307">
        <v>0</v>
      </c>
      <c r="AL20" s="1581">
        <v>0</v>
      </c>
      <c r="AM20" s="1570">
        <v>0</v>
      </c>
      <c r="AN20" s="310">
        <v>0</v>
      </c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</row>
    <row r="21" spans="1:54" customFormat="1">
      <c r="A21" s="125"/>
      <c r="B21" s="1539" t="s">
        <v>62</v>
      </c>
      <c r="C21" s="1540" t="s">
        <v>55</v>
      </c>
      <c r="D21" s="1541">
        <v>0</v>
      </c>
      <c r="E21" s="1541"/>
      <c r="F21" s="1541"/>
      <c r="G21" s="1541"/>
      <c r="H21" s="1541"/>
      <c r="I21" s="1541"/>
      <c r="J21" s="1541"/>
      <c r="K21" s="1558">
        <v>0</v>
      </c>
      <c r="L21" s="1843">
        <v>0</v>
      </c>
      <c r="M21" s="1844"/>
      <c r="N21" s="1831"/>
      <c r="O21" s="1832"/>
      <c r="P21" s="1833"/>
      <c r="Q21" s="125"/>
      <c r="R21" s="284">
        <v>0</v>
      </c>
      <c r="S21" s="1570">
        <v>0</v>
      </c>
      <c r="T21" s="1570">
        <v>0</v>
      </c>
      <c r="U21" s="1570">
        <v>0</v>
      </c>
      <c r="V21" s="1570">
        <v>0</v>
      </c>
      <c r="W21" s="1570">
        <v>0</v>
      </c>
      <c r="X21" s="1570">
        <v>0</v>
      </c>
      <c r="Y21" s="1570">
        <v>0</v>
      </c>
      <c r="Z21" s="1570">
        <v>0</v>
      </c>
      <c r="AA21" s="1570">
        <v>0</v>
      </c>
      <c r="AB21" s="1570">
        <v>0</v>
      </c>
      <c r="AC21" s="1570">
        <v>0</v>
      </c>
      <c r="AD21" s="1570">
        <v>0</v>
      </c>
      <c r="AE21" s="1570">
        <v>0</v>
      </c>
      <c r="AF21" s="1570">
        <v>0</v>
      </c>
      <c r="AG21" s="1570">
        <v>0</v>
      </c>
      <c r="AH21" s="1570">
        <v>0</v>
      </c>
      <c r="AI21" s="1570">
        <v>0</v>
      </c>
      <c r="AJ21" s="1570">
        <v>0</v>
      </c>
      <c r="AK21" s="307">
        <v>0</v>
      </c>
      <c r="AL21" s="1581">
        <v>0</v>
      </c>
      <c r="AM21" s="1570">
        <v>0</v>
      </c>
      <c r="AN21" s="310">
        <v>0</v>
      </c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</row>
    <row r="22" spans="1:54" customFormat="1">
      <c r="A22" s="125"/>
      <c r="B22" s="1539" t="s">
        <v>63</v>
      </c>
      <c r="C22" s="1540" t="s">
        <v>55</v>
      </c>
      <c r="D22" s="1541">
        <v>0</v>
      </c>
      <c r="E22" s="1541"/>
      <c r="F22" s="1541"/>
      <c r="G22" s="1541"/>
      <c r="H22" s="1541"/>
      <c r="I22" s="1541"/>
      <c r="J22" s="1541"/>
      <c r="K22" s="1558">
        <v>0</v>
      </c>
      <c r="L22" s="1843">
        <v>0</v>
      </c>
      <c r="M22" s="1844"/>
      <c r="N22" s="1831"/>
      <c r="O22" s="1832"/>
      <c r="P22" s="1833"/>
      <c r="Q22" s="125"/>
      <c r="R22" s="284">
        <v>0</v>
      </c>
      <c r="S22" s="1570">
        <v>0</v>
      </c>
      <c r="T22" s="1570">
        <v>0</v>
      </c>
      <c r="U22" s="1570">
        <v>0</v>
      </c>
      <c r="V22" s="1570">
        <v>0</v>
      </c>
      <c r="W22" s="1570">
        <v>0</v>
      </c>
      <c r="X22" s="1570">
        <v>0</v>
      </c>
      <c r="Y22" s="1570">
        <v>0</v>
      </c>
      <c r="Z22" s="1570">
        <v>0</v>
      </c>
      <c r="AA22" s="1570">
        <v>0</v>
      </c>
      <c r="AB22" s="1570">
        <v>0</v>
      </c>
      <c r="AC22" s="1570">
        <v>0</v>
      </c>
      <c r="AD22" s="1570">
        <v>0</v>
      </c>
      <c r="AE22" s="1570">
        <v>0</v>
      </c>
      <c r="AF22" s="1570">
        <v>0</v>
      </c>
      <c r="AG22" s="1570">
        <v>0</v>
      </c>
      <c r="AH22" s="1570">
        <v>0</v>
      </c>
      <c r="AI22" s="1570">
        <v>0</v>
      </c>
      <c r="AJ22" s="1570">
        <v>0</v>
      </c>
      <c r="AK22" s="307">
        <v>0</v>
      </c>
      <c r="AL22" s="1581">
        <v>0</v>
      </c>
      <c r="AM22" s="1570">
        <v>0</v>
      </c>
      <c r="AN22" s="310">
        <v>0</v>
      </c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</row>
    <row r="23" spans="1:54" customFormat="1">
      <c r="A23" s="125"/>
      <c r="B23" s="1546" t="s">
        <v>64</v>
      </c>
      <c r="C23" s="1547" t="s">
        <v>65</v>
      </c>
      <c r="D23" s="1541">
        <v>759.81</v>
      </c>
      <c r="E23" s="1542">
        <v>40</v>
      </c>
      <c r="F23" s="1541"/>
      <c r="G23" s="1541"/>
      <c r="H23" s="1541"/>
      <c r="I23" s="1541"/>
      <c r="J23" s="1541"/>
      <c r="K23" s="1558">
        <v>40</v>
      </c>
      <c r="L23" s="1843" t="s">
        <v>34</v>
      </c>
      <c r="M23" s="1844"/>
      <c r="N23" s="1826" t="s">
        <v>38</v>
      </c>
      <c r="O23" s="1827"/>
      <c r="P23" s="1828"/>
      <c r="Q23" s="125"/>
      <c r="R23" s="284">
        <v>40</v>
      </c>
      <c r="S23" s="1570">
        <v>0</v>
      </c>
      <c r="T23" s="1570">
        <v>0</v>
      </c>
      <c r="U23" s="1570">
        <v>0</v>
      </c>
      <c r="V23" s="1570">
        <v>0</v>
      </c>
      <c r="W23" s="1570">
        <v>0</v>
      </c>
      <c r="X23" s="1570">
        <v>0</v>
      </c>
      <c r="Y23" s="1570">
        <v>40</v>
      </c>
      <c r="Z23" s="1570">
        <v>0</v>
      </c>
      <c r="AA23" s="1570">
        <v>0</v>
      </c>
      <c r="AB23" s="1570">
        <v>0</v>
      </c>
      <c r="AC23" s="1570">
        <v>0</v>
      </c>
      <c r="AD23" s="1570">
        <v>0</v>
      </c>
      <c r="AE23" s="1570">
        <v>0</v>
      </c>
      <c r="AF23" s="1570">
        <v>0</v>
      </c>
      <c r="AG23" s="1570">
        <v>0</v>
      </c>
      <c r="AH23" s="1570">
        <v>0</v>
      </c>
      <c r="AI23" s="1570">
        <v>0</v>
      </c>
      <c r="AJ23" s="1570">
        <v>0</v>
      </c>
      <c r="AK23" s="307">
        <v>40</v>
      </c>
      <c r="AL23" s="1581">
        <v>1</v>
      </c>
      <c r="AM23" s="1570">
        <v>101.01</v>
      </c>
      <c r="AN23" s="310">
        <v>101.01</v>
      </c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</row>
    <row r="24" spans="1:54" customFormat="1">
      <c r="A24" s="125"/>
      <c r="B24" s="1546" t="s">
        <v>66</v>
      </c>
      <c r="C24" s="1547" t="s">
        <v>65</v>
      </c>
      <c r="D24" s="1541">
        <v>988.79</v>
      </c>
      <c r="E24" s="1541">
        <v>40</v>
      </c>
      <c r="F24" s="1541"/>
      <c r="G24" s="1541"/>
      <c r="H24" s="1541"/>
      <c r="I24" s="1541"/>
      <c r="J24" s="1541"/>
      <c r="K24" s="1558">
        <v>40</v>
      </c>
      <c r="L24" s="1843" t="s">
        <v>34</v>
      </c>
      <c r="M24" s="1844"/>
      <c r="N24" s="1831" t="s">
        <v>38</v>
      </c>
      <c r="O24" s="1832"/>
      <c r="P24" s="1833"/>
      <c r="Q24" s="125"/>
      <c r="R24" s="284">
        <v>40</v>
      </c>
      <c r="S24" s="1570">
        <v>0</v>
      </c>
      <c r="T24" s="1570">
        <v>0</v>
      </c>
      <c r="U24" s="1570">
        <v>0</v>
      </c>
      <c r="V24" s="1570">
        <v>0</v>
      </c>
      <c r="W24" s="1570">
        <v>0</v>
      </c>
      <c r="X24" s="1570">
        <v>0</v>
      </c>
      <c r="Y24" s="1570">
        <v>40</v>
      </c>
      <c r="Z24" s="1570">
        <v>0</v>
      </c>
      <c r="AA24" s="1570">
        <v>0</v>
      </c>
      <c r="AB24" s="1570">
        <v>0</v>
      </c>
      <c r="AC24" s="1570">
        <v>0</v>
      </c>
      <c r="AD24" s="1570">
        <v>0</v>
      </c>
      <c r="AE24" s="1570">
        <v>0</v>
      </c>
      <c r="AF24" s="1570">
        <v>0</v>
      </c>
      <c r="AG24" s="1570">
        <v>0</v>
      </c>
      <c r="AH24" s="1570">
        <v>0</v>
      </c>
      <c r="AI24" s="1570">
        <v>0</v>
      </c>
      <c r="AJ24" s="1570">
        <v>0</v>
      </c>
      <c r="AK24" s="307">
        <v>40</v>
      </c>
      <c r="AL24" s="1581">
        <v>1</v>
      </c>
      <c r="AM24" s="1570">
        <v>101.01</v>
      </c>
      <c r="AN24" s="310">
        <v>101.01</v>
      </c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</row>
    <row r="25" spans="1:54" customFormat="1">
      <c r="A25" s="125"/>
      <c r="B25" s="1546" t="s">
        <v>67</v>
      </c>
      <c r="C25" s="1547" t="s">
        <v>65</v>
      </c>
      <c r="D25" s="1541">
        <v>1316.82</v>
      </c>
      <c r="E25" s="1541">
        <v>40</v>
      </c>
      <c r="F25" s="1541"/>
      <c r="G25" s="1541"/>
      <c r="H25" s="1541"/>
      <c r="I25" s="1541"/>
      <c r="J25" s="1541"/>
      <c r="K25" s="1558">
        <v>40</v>
      </c>
      <c r="L25" s="1843" t="s">
        <v>34</v>
      </c>
      <c r="M25" s="1844"/>
      <c r="N25" s="1831" t="s">
        <v>38</v>
      </c>
      <c r="O25" s="1832"/>
      <c r="P25" s="1833"/>
      <c r="Q25" s="125"/>
      <c r="R25" s="284">
        <v>40</v>
      </c>
      <c r="S25" s="1570">
        <v>0</v>
      </c>
      <c r="T25" s="1570">
        <v>0</v>
      </c>
      <c r="U25" s="1570">
        <v>0</v>
      </c>
      <c r="V25" s="1570">
        <v>0</v>
      </c>
      <c r="W25" s="1570">
        <v>0</v>
      </c>
      <c r="X25" s="1570">
        <v>0</v>
      </c>
      <c r="Y25" s="1570">
        <v>40</v>
      </c>
      <c r="Z25" s="1570">
        <v>0</v>
      </c>
      <c r="AA25" s="1570">
        <v>0</v>
      </c>
      <c r="AB25" s="1570">
        <v>0</v>
      </c>
      <c r="AC25" s="1570">
        <v>0</v>
      </c>
      <c r="AD25" s="1570">
        <v>0</v>
      </c>
      <c r="AE25" s="1570">
        <v>0</v>
      </c>
      <c r="AF25" s="1570">
        <v>0</v>
      </c>
      <c r="AG25" s="1570">
        <v>0</v>
      </c>
      <c r="AH25" s="1570">
        <v>0</v>
      </c>
      <c r="AI25" s="1570">
        <v>0</v>
      </c>
      <c r="AJ25" s="1570">
        <v>0</v>
      </c>
      <c r="AK25" s="307">
        <v>40</v>
      </c>
      <c r="AL25" s="1581">
        <v>1</v>
      </c>
      <c r="AM25" s="1570">
        <v>101.01</v>
      </c>
      <c r="AN25" s="310">
        <v>101.01</v>
      </c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</row>
    <row r="26" spans="1:54" customFormat="1">
      <c r="A26" s="125"/>
      <c r="B26" s="1546" t="s">
        <v>68</v>
      </c>
      <c r="C26" s="1547" t="s">
        <v>65</v>
      </c>
      <c r="D26" s="1541">
        <v>2200</v>
      </c>
      <c r="E26" s="1541">
        <v>40</v>
      </c>
      <c r="F26" s="1541"/>
      <c r="G26" s="1541"/>
      <c r="H26" s="1541"/>
      <c r="I26" s="1541"/>
      <c r="J26" s="1541"/>
      <c r="K26" s="1558">
        <v>40</v>
      </c>
      <c r="L26" s="1843" t="s">
        <v>34</v>
      </c>
      <c r="M26" s="1844"/>
      <c r="N26" s="1831" t="s">
        <v>38</v>
      </c>
      <c r="O26" s="1832"/>
      <c r="P26" s="1833"/>
      <c r="Q26" s="125"/>
      <c r="R26" s="284">
        <v>40</v>
      </c>
      <c r="S26" s="1570">
        <v>0</v>
      </c>
      <c r="T26" s="1570">
        <v>0</v>
      </c>
      <c r="U26" s="1570">
        <v>0</v>
      </c>
      <c r="V26" s="1570">
        <v>0</v>
      </c>
      <c r="W26" s="1570">
        <v>0</v>
      </c>
      <c r="X26" s="1570">
        <v>0</v>
      </c>
      <c r="Y26" s="1570">
        <v>40</v>
      </c>
      <c r="Z26" s="1570">
        <v>0</v>
      </c>
      <c r="AA26" s="1570">
        <v>0</v>
      </c>
      <c r="AB26" s="1570">
        <v>0</v>
      </c>
      <c r="AC26" s="1570">
        <v>0</v>
      </c>
      <c r="AD26" s="1570">
        <v>0</v>
      </c>
      <c r="AE26" s="1570">
        <v>0</v>
      </c>
      <c r="AF26" s="1570">
        <v>0</v>
      </c>
      <c r="AG26" s="1570">
        <v>0</v>
      </c>
      <c r="AH26" s="1570">
        <v>0</v>
      </c>
      <c r="AI26" s="1570">
        <v>0</v>
      </c>
      <c r="AJ26" s="1570">
        <v>0</v>
      </c>
      <c r="AK26" s="307">
        <v>40</v>
      </c>
      <c r="AL26" s="1581">
        <v>1</v>
      </c>
      <c r="AM26" s="1570">
        <v>101.01</v>
      </c>
      <c r="AN26" s="310">
        <v>101.01</v>
      </c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</row>
    <row r="27" spans="1:54" customFormat="1">
      <c r="A27" s="125"/>
      <c r="B27" s="1546" t="s">
        <v>69</v>
      </c>
      <c r="C27" s="1547" t="s">
        <v>65</v>
      </c>
      <c r="D27" s="1541">
        <v>3239.25</v>
      </c>
      <c r="E27" s="1541">
        <v>40</v>
      </c>
      <c r="F27" s="1541"/>
      <c r="G27" s="1541"/>
      <c r="H27" s="1541"/>
      <c r="I27" s="1541"/>
      <c r="J27" s="1541"/>
      <c r="K27" s="1558">
        <v>40</v>
      </c>
      <c r="L27" s="1843" t="s">
        <v>34</v>
      </c>
      <c r="M27" s="1844"/>
      <c r="N27" s="1831" t="s">
        <v>38</v>
      </c>
      <c r="O27" s="1832"/>
      <c r="P27" s="1833"/>
      <c r="Q27" s="125"/>
      <c r="R27" s="284">
        <v>40</v>
      </c>
      <c r="S27" s="1570">
        <v>0</v>
      </c>
      <c r="T27" s="1570">
        <v>0</v>
      </c>
      <c r="U27" s="1570">
        <v>0</v>
      </c>
      <c r="V27" s="1570">
        <v>0</v>
      </c>
      <c r="W27" s="1570">
        <v>0</v>
      </c>
      <c r="X27" s="1570">
        <v>0</v>
      </c>
      <c r="Y27" s="1570">
        <v>40</v>
      </c>
      <c r="Z27" s="1570">
        <v>0</v>
      </c>
      <c r="AA27" s="1570">
        <v>0</v>
      </c>
      <c r="AB27" s="1570">
        <v>0</v>
      </c>
      <c r="AC27" s="1570">
        <v>0</v>
      </c>
      <c r="AD27" s="1570">
        <v>0</v>
      </c>
      <c r="AE27" s="1570">
        <v>0</v>
      </c>
      <c r="AF27" s="1570">
        <v>0</v>
      </c>
      <c r="AG27" s="1570">
        <v>0</v>
      </c>
      <c r="AH27" s="1570">
        <v>0</v>
      </c>
      <c r="AI27" s="1570">
        <v>0</v>
      </c>
      <c r="AJ27" s="1570">
        <v>0</v>
      </c>
      <c r="AK27" s="307">
        <v>40</v>
      </c>
      <c r="AL27" s="1581">
        <v>1</v>
      </c>
      <c r="AM27" s="1570">
        <v>101.01</v>
      </c>
      <c r="AN27" s="310">
        <v>101.01</v>
      </c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</row>
    <row r="28" spans="1:54" customFormat="1">
      <c r="A28" s="125"/>
      <c r="B28" s="1546" t="s">
        <v>70</v>
      </c>
      <c r="C28" s="1547" t="s">
        <v>65</v>
      </c>
      <c r="D28" s="1541">
        <v>4885.9799999999996</v>
      </c>
      <c r="E28" s="1541">
        <v>40</v>
      </c>
      <c r="F28" s="1541"/>
      <c r="G28" s="1541"/>
      <c r="H28" s="1541"/>
      <c r="I28" s="1541"/>
      <c r="J28" s="1541"/>
      <c r="K28" s="1558">
        <v>40</v>
      </c>
      <c r="L28" s="1843" t="s">
        <v>34</v>
      </c>
      <c r="M28" s="1844"/>
      <c r="N28" s="1831" t="s">
        <v>38</v>
      </c>
      <c r="O28" s="1832"/>
      <c r="P28" s="1833"/>
      <c r="Q28" s="125"/>
      <c r="R28" s="284">
        <v>40</v>
      </c>
      <c r="S28" s="1570">
        <v>0</v>
      </c>
      <c r="T28" s="1570">
        <v>0</v>
      </c>
      <c r="U28" s="1570">
        <v>0</v>
      </c>
      <c r="V28" s="1570">
        <v>0</v>
      </c>
      <c r="W28" s="1570">
        <v>0</v>
      </c>
      <c r="X28" s="1570">
        <v>0</v>
      </c>
      <c r="Y28" s="1570">
        <v>40</v>
      </c>
      <c r="Z28" s="1570">
        <v>0</v>
      </c>
      <c r="AA28" s="1570">
        <v>0</v>
      </c>
      <c r="AB28" s="1570">
        <v>0</v>
      </c>
      <c r="AC28" s="1570">
        <v>0</v>
      </c>
      <c r="AD28" s="1570">
        <v>0</v>
      </c>
      <c r="AE28" s="1570">
        <v>0</v>
      </c>
      <c r="AF28" s="1570">
        <v>0</v>
      </c>
      <c r="AG28" s="1570">
        <v>0</v>
      </c>
      <c r="AH28" s="1570">
        <v>0</v>
      </c>
      <c r="AI28" s="1570">
        <v>0</v>
      </c>
      <c r="AJ28" s="1570">
        <v>0</v>
      </c>
      <c r="AK28" s="307">
        <v>40</v>
      </c>
      <c r="AL28" s="1581">
        <v>1</v>
      </c>
      <c r="AM28" s="1570">
        <v>101.01</v>
      </c>
      <c r="AN28" s="310">
        <v>101.01</v>
      </c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</row>
    <row r="29" spans="1:54" customFormat="1">
      <c r="A29" s="125"/>
      <c r="B29" s="1546" t="s">
        <v>71</v>
      </c>
      <c r="C29" s="1547" t="s">
        <v>65</v>
      </c>
      <c r="D29" s="1541">
        <v>0</v>
      </c>
      <c r="E29" s="1541"/>
      <c r="F29" s="1541"/>
      <c r="G29" s="1541"/>
      <c r="H29" s="1541"/>
      <c r="I29" s="1541"/>
      <c r="J29" s="1541"/>
      <c r="K29" s="1558">
        <v>0</v>
      </c>
      <c r="L29" s="1843" t="s">
        <v>34</v>
      </c>
      <c r="M29" s="1844"/>
      <c r="N29" s="1831" t="s">
        <v>38</v>
      </c>
      <c r="O29" s="1832"/>
      <c r="P29" s="1833"/>
      <c r="Q29" s="125"/>
      <c r="R29" s="284">
        <v>0</v>
      </c>
      <c r="S29" s="1570">
        <v>0</v>
      </c>
      <c r="T29" s="1570">
        <v>0</v>
      </c>
      <c r="U29" s="1570">
        <v>0</v>
      </c>
      <c r="V29" s="1570">
        <v>0</v>
      </c>
      <c r="W29" s="1570">
        <v>0</v>
      </c>
      <c r="X29" s="1570">
        <v>0</v>
      </c>
      <c r="Y29" s="1570">
        <v>0</v>
      </c>
      <c r="Z29" s="1570">
        <v>0</v>
      </c>
      <c r="AA29" s="1570">
        <v>0</v>
      </c>
      <c r="AB29" s="1570">
        <v>0</v>
      </c>
      <c r="AC29" s="1570">
        <v>0</v>
      </c>
      <c r="AD29" s="1570">
        <v>0</v>
      </c>
      <c r="AE29" s="1570">
        <v>0</v>
      </c>
      <c r="AF29" s="1570">
        <v>0</v>
      </c>
      <c r="AG29" s="1570">
        <v>0</v>
      </c>
      <c r="AH29" s="1570">
        <v>0</v>
      </c>
      <c r="AI29" s="1570">
        <v>0</v>
      </c>
      <c r="AJ29" s="1570">
        <v>0</v>
      </c>
      <c r="AK29" s="307">
        <v>0</v>
      </c>
      <c r="AL29" s="1581">
        <v>0</v>
      </c>
      <c r="AM29" s="1570">
        <v>0</v>
      </c>
      <c r="AN29" s="310">
        <v>0</v>
      </c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</row>
    <row r="30" spans="1:54" customFormat="1">
      <c r="A30" s="125"/>
      <c r="B30" s="1548" t="s">
        <v>72</v>
      </c>
      <c r="C30" s="1547" t="s">
        <v>73</v>
      </c>
      <c r="D30" s="1541">
        <v>532.71</v>
      </c>
      <c r="E30" s="1549"/>
      <c r="F30" s="1550"/>
      <c r="G30" s="1550"/>
      <c r="H30" s="1550"/>
      <c r="I30" s="1550"/>
      <c r="J30" s="1559" t="s">
        <v>48</v>
      </c>
      <c r="K30" s="1560"/>
      <c r="L30" s="1560"/>
      <c r="M30" s="1561"/>
      <c r="N30" s="1831" t="s">
        <v>43</v>
      </c>
      <c r="O30" s="1832"/>
      <c r="P30" s="1833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</row>
    <row r="31" spans="1:54" customFormat="1">
      <c r="A31" s="125"/>
      <c r="B31" s="1548" t="s">
        <v>74</v>
      </c>
      <c r="C31" s="1547" t="s">
        <v>75</v>
      </c>
      <c r="D31" s="1541">
        <v>205.61</v>
      </c>
      <c r="E31" s="1551"/>
      <c r="F31" s="1552"/>
      <c r="G31" s="1552"/>
      <c r="H31" s="1552"/>
      <c r="I31" s="1552"/>
      <c r="J31" s="1562" t="s">
        <v>48</v>
      </c>
      <c r="K31" s="1554"/>
      <c r="L31" s="1554"/>
      <c r="M31" s="1563"/>
      <c r="N31" s="1831" t="s">
        <v>38</v>
      </c>
      <c r="O31" s="1832"/>
      <c r="P31" s="1833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</row>
    <row r="32" spans="1:54" customFormat="1">
      <c r="A32" s="125"/>
      <c r="B32" s="1548" t="s">
        <v>76</v>
      </c>
      <c r="C32" s="1547" t="s">
        <v>73</v>
      </c>
      <c r="D32" s="1541">
        <v>443.93</v>
      </c>
      <c r="E32" s="1551"/>
      <c r="F32" s="1552"/>
      <c r="G32" s="1552"/>
      <c r="H32" s="1552"/>
      <c r="I32" s="1552"/>
      <c r="J32" s="1562" t="s">
        <v>48</v>
      </c>
      <c r="K32" s="1554"/>
      <c r="L32" s="1554"/>
      <c r="M32" s="1563"/>
      <c r="N32" s="1831" t="s">
        <v>43</v>
      </c>
      <c r="O32" s="1832"/>
      <c r="P32" s="1833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</row>
    <row r="33" spans="1:54" customFormat="1">
      <c r="A33" s="125"/>
      <c r="B33" s="1548" t="s">
        <v>77</v>
      </c>
      <c r="C33" s="1547" t="s">
        <v>78</v>
      </c>
      <c r="D33" s="1541">
        <v>18.22</v>
      </c>
      <c r="E33" s="1551"/>
      <c r="F33" s="1552"/>
      <c r="G33" s="1552"/>
      <c r="H33" s="1552"/>
      <c r="I33" s="1552"/>
      <c r="J33" s="1562" t="s">
        <v>48</v>
      </c>
      <c r="K33" s="1554"/>
      <c r="L33" s="1554"/>
      <c r="M33" s="1563"/>
      <c r="N33" s="1831" t="s">
        <v>43</v>
      </c>
      <c r="O33" s="1832"/>
      <c r="P33" s="1833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</row>
    <row r="34" spans="1:54" customFormat="1">
      <c r="A34" s="125"/>
      <c r="B34" s="1548" t="s">
        <v>79</v>
      </c>
      <c r="C34" s="1547" t="s">
        <v>78</v>
      </c>
      <c r="D34" s="1541">
        <v>30.37</v>
      </c>
      <c r="E34" s="1551"/>
      <c r="F34" s="1552"/>
      <c r="G34" s="1552"/>
      <c r="H34" s="1552"/>
      <c r="I34" s="1552"/>
      <c r="J34" s="1562" t="s">
        <v>48</v>
      </c>
      <c r="K34" s="1554"/>
      <c r="L34" s="1554"/>
      <c r="M34" s="1564"/>
      <c r="N34" s="1831" t="s">
        <v>43</v>
      </c>
      <c r="O34" s="1832"/>
      <c r="P34" s="1833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</row>
    <row r="35" spans="1:54" customFormat="1">
      <c r="A35" s="125"/>
      <c r="B35" s="1548" t="s">
        <v>80</v>
      </c>
      <c r="C35" s="1547" t="s">
        <v>81</v>
      </c>
      <c r="D35" s="1541">
        <v>51.41</v>
      </c>
      <c r="E35" s="1551"/>
      <c r="F35" s="1552"/>
      <c r="G35" s="1552"/>
      <c r="H35" s="1552"/>
      <c r="I35" s="1552"/>
      <c r="J35" s="1562" t="s">
        <v>48</v>
      </c>
      <c r="K35" s="1554"/>
      <c r="L35" s="1554"/>
      <c r="M35" s="1564"/>
      <c r="N35" s="1831" t="s">
        <v>43</v>
      </c>
      <c r="O35" s="1832"/>
      <c r="P35" s="1833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</row>
    <row r="36" spans="1:54" customFormat="1">
      <c r="A36" s="125"/>
      <c r="B36" s="1548" t="s">
        <v>82</v>
      </c>
      <c r="C36" s="1547" t="s">
        <v>83</v>
      </c>
      <c r="D36" s="1541">
        <v>31.9444444444444</v>
      </c>
      <c r="E36" s="1553"/>
      <c r="F36" s="1554"/>
      <c r="G36" s="1554"/>
      <c r="H36" s="1554"/>
      <c r="I36" s="1554"/>
      <c r="J36" s="1562" t="s">
        <v>48</v>
      </c>
      <c r="K36" s="1554"/>
      <c r="L36" s="1554"/>
      <c r="M36" s="1564"/>
      <c r="N36" s="1831" t="s">
        <v>84</v>
      </c>
      <c r="O36" s="1832"/>
      <c r="P36" s="1833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</row>
    <row r="37" spans="1:54" customFormat="1">
      <c r="A37" s="125"/>
      <c r="B37" s="1548" t="s">
        <v>85</v>
      </c>
      <c r="C37" s="1547" t="s">
        <v>65</v>
      </c>
      <c r="D37" s="1541">
        <v>56.07</v>
      </c>
      <c r="E37" s="1555"/>
      <c r="F37" s="1556"/>
      <c r="G37" s="1557"/>
      <c r="H37" s="1557"/>
      <c r="I37" s="1557"/>
      <c r="J37" s="1565" t="s">
        <v>48</v>
      </c>
      <c r="K37" s="1557"/>
      <c r="L37" s="1557"/>
      <c r="M37" s="1566"/>
      <c r="N37" s="1831" t="s">
        <v>43</v>
      </c>
      <c r="O37" s="1832"/>
      <c r="P37" s="1833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</row>
  </sheetData>
  <sheetProtection selectLockedCells="1"/>
  <mergeCells count="71">
    <mergeCell ref="N35:P35"/>
    <mergeCell ref="N36:P36"/>
    <mergeCell ref="N37:P37"/>
    <mergeCell ref="B4:B6"/>
    <mergeCell ref="C4:C6"/>
    <mergeCell ref="L4:M6"/>
    <mergeCell ref="N4:P6"/>
    <mergeCell ref="N30:P30"/>
    <mergeCell ref="N31:P31"/>
    <mergeCell ref="N32:P32"/>
    <mergeCell ref="N33:P33"/>
    <mergeCell ref="N34:P34"/>
    <mergeCell ref="L27:M27"/>
    <mergeCell ref="N27:P27"/>
    <mergeCell ref="L28:M28"/>
    <mergeCell ref="N28:P28"/>
    <mergeCell ref="L29:M29"/>
    <mergeCell ref="N29:P29"/>
    <mergeCell ref="L24:M24"/>
    <mergeCell ref="N24:P24"/>
    <mergeCell ref="L25:M25"/>
    <mergeCell ref="N25:P25"/>
    <mergeCell ref="L26:M26"/>
    <mergeCell ref="N26:P26"/>
    <mergeCell ref="L21:M21"/>
    <mergeCell ref="N21:P21"/>
    <mergeCell ref="L22:M22"/>
    <mergeCell ref="N22:P22"/>
    <mergeCell ref="L23:M23"/>
    <mergeCell ref="N23:P23"/>
    <mergeCell ref="L18:M18"/>
    <mergeCell ref="N18:P18"/>
    <mergeCell ref="L19:M19"/>
    <mergeCell ref="N19:P19"/>
    <mergeCell ref="E20:M20"/>
    <mergeCell ref="N20:P20"/>
    <mergeCell ref="E15:M15"/>
    <mergeCell ref="N15:P15"/>
    <mergeCell ref="L16:M16"/>
    <mergeCell ref="N16:P16"/>
    <mergeCell ref="L17:M17"/>
    <mergeCell ref="N17:P17"/>
    <mergeCell ref="L12:M12"/>
    <mergeCell ref="N12:P12"/>
    <mergeCell ref="L13:M13"/>
    <mergeCell ref="N13:P13"/>
    <mergeCell ref="E14:M14"/>
    <mergeCell ref="N14:P14"/>
    <mergeCell ref="L9:M9"/>
    <mergeCell ref="N9:P9"/>
    <mergeCell ref="L10:M10"/>
    <mergeCell ref="N10:P10"/>
    <mergeCell ref="L11:M11"/>
    <mergeCell ref="N11:P11"/>
    <mergeCell ref="E5:G5"/>
    <mergeCell ref="H5:J5"/>
    <mergeCell ref="L7:M7"/>
    <mergeCell ref="N7:P7"/>
    <mergeCell ref="L8:M8"/>
    <mergeCell ref="N8:P8"/>
    <mergeCell ref="B3:P3"/>
    <mergeCell ref="S3:X3"/>
    <mergeCell ref="Y3:AD3"/>
    <mergeCell ref="AE3:AJ3"/>
    <mergeCell ref="E4:J4"/>
    <mergeCell ref="S4:U4"/>
    <mergeCell ref="V4:X4"/>
    <mergeCell ref="Y4:AA4"/>
    <mergeCell ref="AB4:AD4"/>
    <mergeCell ref="AE4:AG4"/>
    <mergeCell ref="AH4:AJ4"/>
  </mergeCells>
  <dataValidations count="1">
    <dataValidation type="list" allowBlank="1" showInputMessage="1" showErrorMessage="1" sqref="L7:M7 L16:M17" xr:uid="{00000000-0002-0000-0000-000000000000}">
      <formula1>$BB$5:$BB$7</formula1>
    </dataValidation>
  </dataValidations>
  <pageMargins left="0.47244094488188998" right="0.43307086614173201" top="0.39370078740157499" bottom="0.39370078740157499" header="0.31496062992126" footer="0.31496062992126"/>
  <pageSetup paperSize="9" scale="8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  <pageSetUpPr fitToPage="1"/>
  </sheetPr>
  <dimension ref="A1:X279"/>
  <sheetViews>
    <sheetView view="pageBreakPreview" zoomScaleNormal="100" workbookViewId="0">
      <selection activeCell="I11" sqref="I11"/>
    </sheetView>
  </sheetViews>
  <sheetFormatPr defaultColWidth="8" defaultRowHeight="18"/>
  <cols>
    <col min="1" max="1" width="5.21875" style="336" customWidth="1"/>
    <col min="2" max="2" width="5.44140625" style="336" customWidth="1"/>
    <col min="3" max="3" width="8" style="336" customWidth="1"/>
    <col min="4" max="4" width="14.33203125" style="336" customWidth="1"/>
    <col min="5" max="5" width="12.6640625" style="336" customWidth="1"/>
    <col min="6" max="6" width="8" style="1003" customWidth="1"/>
    <col min="7" max="7" width="8" style="114" customWidth="1"/>
    <col min="8" max="8" width="11.109375" style="336" customWidth="1"/>
    <col min="9" max="9" width="10.6640625" style="336" customWidth="1"/>
    <col min="10" max="10" width="10.77734375" style="336" customWidth="1"/>
    <col min="11" max="11" width="9.77734375" style="336" customWidth="1"/>
    <col min="12" max="12" width="14.33203125" style="336" customWidth="1"/>
    <col min="13" max="13" width="16" style="336" customWidth="1"/>
    <col min="14" max="14" width="9.44140625" style="336" customWidth="1"/>
    <col min="15" max="15" width="10.88671875" style="336" customWidth="1"/>
    <col min="16" max="16" width="12.44140625" style="336" customWidth="1"/>
    <col min="17" max="17" width="3.88671875" style="336" customWidth="1"/>
    <col min="18" max="18" width="9.21875" style="336"/>
    <col min="19" max="19" width="3.88671875" style="336" customWidth="1"/>
    <col min="20" max="20" width="6.44140625" style="336" customWidth="1"/>
    <col min="21" max="21" width="3.88671875" style="336" customWidth="1"/>
    <col min="22" max="16384" width="8" style="336"/>
  </cols>
  <sheetData>
    <row r="1" spans="1:14">
      <c r="A1" s="1934" t="s">
        <v>422</v>
      </c>
      <c r="B1" s="1934"/>
      <c r="C1" s="1934"/>
      <c r="D1" s="1934"/>
      <c r="E1" s="1934"/>
      <c r="F1" s="1934"/>
      <c r="G1" s="1934"/>
      <c r="H1" s="1934"/>
      <c r="I1" s="1934"/>
      <c r="J1" s="1934"/>
      <c r="K1" s="1934"/>
      <c r="L1" s="592"/>
      <c r="M1" s="1791" t="s">
        <v>1093</v>
      </c>
    </row>
    <row r="2" spans="1:14">
      <c r="A2" s="592" t="s">
        <v>404</v>
      </c>
      <c r="D2" s="336" t="s">
        <v>423</v>
      </c>
      <c r="E2" s="597"/>
    </row>
    <row r="3" spans="1:14">
      <c r="A3" s="592" t="s">
        <v>405</v>
      </c>
      <c r="D3" s="336" t="s">
        <v>540</v>
      </c>
      <c r="L3" s="1092"/>
    </row>
    <row r="4" spans="1:14">
      <c r="A4" s="592"/>
      <c r="D4" s="336" t="s">
        <v>1095</v>
      </c>
      <c r="L4" s="1092"/>
    </row>
    <row r="5" spans="1:14">
      <c r="A5" s="592" t="s">
        <v>406</v>
      </c>
      <c r="B5" s="597"/>
      <c r="C5" s="597"/>
      <c r="D5" s="597" t="s">
        <v>541</v>
      </c>
      <c r="E5" s="597"/>
    </row>
    <row r="6" spans="1:14">
      <c r="A6" s="592" t="s">
        <v>407</v>
      </c>
      <c r="D6" s="336" t="s">
        <v>542</v>
      </c>
      <c r="F6" s="1004" t="s">
        <v>424</v>
      </c>
    </row>
    <row r="7" spans="1:14">
      <c r="A7" s="592" t="s">
        <v>408</v>
      </c>
      <c r="D7" s="336" t="s">
        <v>425</v>
      </c>
      <c r="F7" s="1005"/>
    </row>
    <row r="8" spans="1:14">
      <c r="A8" s="594" t="s">
        <v>1097</v>
      </c>
      <c r="D8" s="336" t="s">
        <v>1096</v>
      </c>
      <c r="H8" s="1006" t="s">
        <v>1069</v>
      </c>
      <c r="M8" s="596" t="s">
        <v>427</v>
      </c>
    </row>
    <row r="9" spans="1:14">
      <c r="A9" s="1979" t="s">
        <v>310</v>
      </c>
      <c r="B9" s="1991" t="s">
        <v>96</v>
      </c>
      <c r="C9" s="1992"/>
      <c r="D9" s="1992"/>
      <c r="E9" s="1992"/>
      <c r="F9" s="2018" t="s">
        <v>179</v>
      </c>
      <c r="G9" s="1991" t="s">
        <v>11</v>
      </c>
      <c r="H9" s="1974" t="s">
        <v>107</v>
      </c>
      <c r="I9" s="1975"/>
      <c r="J9" s="1974" t="s">
        <v>394</v>
      </c>
      <c r="K9" s="1975"/>
      <c r="L9" s="711" t="s">
        <v>109</v>
      </c>
      <c r="M9" s="1981" t="s">
        <v>100</v>
      </c>
    </row>
    <row r="10" spans="1:14">
      <c r="A10" s="1980"/>
      <c r="B10" s="1993"/>
      <c r="C10" s="1994"/>
      <c r="D10" s="1994"/>
      <c r="E10" s="1994"/>
      <c r="F10" s="2019"/>
      <c r="G10" s="1993"/>
      <c r="H10" s="316" t="s">
        <v>180</v>
      </c>
      <c r="I10" s="316" t="s">
        <v>428</v>
      </c>
      <c r="J10" s="316" t="s">
        <v>180</v>
      </c>
      <c r="K10" s="316" t="s">
        <v>319</v>
      </c>
      <c r="L10" s="316" t="s">
        <v>429</v>
      </c>
      <c r="M10" s="1982"/>
    </row>
    <row r="11" spans="1:14" customFormat="1">
      <c r="A11" s="1007"/>
      <c r="B11" s="1008" t="s">
        <v>430</v>
      </c>
      <c r="C11" s="1009"/>
      <c r="D11" s="1009"/>
      <c r="E11" s="1009"/>
      <c r="F11" s="320"/>
      <c r="G11" s="1009"/>
      <c r="H11" s="1010"/>
      <c r="I11" s="1010"/>
      <c r="J11" s="1010"/>
      <c r="K11" s="1010"/>
      <c r="L11" s="1010"/>
      <c r="M11" s="343"/>
    </row>
    <row r="12" spans="1:14" s="996" customFormat="1" ht="20.399999999999999">
      <c r="A12" s="1011">
        <v>1</v>
      </c>
      <c r="B12" s="1012" t="s">
        <v>227</v>
      </c>
      <c r="C12" s="1013"/>
      <c r="D12" s="1014"/>
      <c r="E12" s="1014"/>
      <c r="F12" s="1015"/>
      <c r="G12" s="1016"/>
      <c r="H12" s="1017"/>
      <c r="I12" s="1017"/>
      <c r="J12" s="1017"/>
      <c r="K12" s="1017"/>
      <c r="L12" s="1017"/>
      <c r="M12" s="1093"/>
      <c r="N12" s="1094"/>
    </row>
    <row r="13" spans="1:14" s="996" customFormat="1" ht="20.399999999999999">
      <c r="A13" s="1018"/>
      <c r="B13" s="1019" t="s">
        <v>1088</v>
      </c>
      <c r="C13" s="1014"/>
      <c r="D13" s="1014"/>
      <c r="E13" s="1014"/>
      <c r="F13" s="1020">
        <v>1</v>
      </c>
      <c r="G13" s="1016" t="s">
        <v>208</v>
      </c>
      <c r="H13" s="1017">
        <v>0</v>
      </c>
      <c r="I13" s="1017">
        <f>F13*H13</f>
        <v>0</v>
      </c>
      <c r="J13" s="1017">
        <v>8000</v>
      </c>
      <c r="K13" s="1017">
        <f>F13*J13</f>
        <v>8000</v>
      </c>
      <c r="L13" s="1017">
        <f>I13+K13</f>
        <v>8000</v>
      </c>
      <c r="M13" s="1093"/>
      <c r="N13" s="1094"/>
    </row>
    <row r="14" spans="1:14">
      <c r="A14" s="1021">
        <v>2</v>
      </c>
      <c r="B14" s="1022" t="s">
        <v>431</v>
      </c>
      <c r="C14" s="678"/>
      <c r="D14" s="678"/>
      <c r="E14" s="678"/>
      <c r="F14" s="1023"/>
      <c r="G14" s="678"/>
      <c r="H14" s="327"/>
      <c r="I14" s="327"/>
      <c r="J14" s="327"/>
      <c r="K14" s="327"/>
      <c r="L14" s="327"/>
      <c r="M14" s="344"/>
    </row>
    <row r="15" spans="1:14">
      <c r="A15" s="1024"/>
      <c r="B15" s="1025" t="s">
        <v>432</v>
      </c>
      <c r="C15" s="678"/>
      <c r="D15" s="678"/>
      <c r="E15" s="678"/>
      <c r="F15" s="1026">
        <v>20</v>
      </c>
      <c r="G15" s="1027" t="s">
        <v>184</v>
      </c>
      <c r="H15" s="650">
        <v>0</v>
      </c>
      <c r="I15" s="650">
        <f>F15*H15</f>
        <v>0</v>
      </c>
      <c r="J15" s="650">
        <v>112</v>
      </c>
      <c r="K15" s="650">
        <f>F15*J15</f>
        <v>2240</v>
      </c>
      <c r="L15" s="650">
        <f>I15+K15</f>
        <v>2240</v>
      </c>
      <c r="M15" s="344"/>
    </row>
    <row r="16" spans="1:14">
      <c r="A16" s="1021">
        <v>3</v>
      </c>
      <c r="B16" s="1022" t="s">
        <v>433</v>
      </c>
      <c r="C16" s="678"/>
      <c r="D16" s="678"/>
      <c r="E16" s="678"/>
      <c r="F16" s="1026">
        <v>1</v>
      </c>
      <c r="G16" s="1027" t="s">
        <v>184</v>
      </c>
      <c r="H16" s="650">
        <f>'3.สืบท่อโฟมลูกรังทรายเหล็กป้าย'!G12</f>
        <v>254.65</v>
      </c>
      <c r="I16" s="650">
        <f>F16*H16</f>
        <v>254.65</v>
      </c>
      <c r="J16" s="650">
        <v>112</v>
      </c>
      <c r="K16" s="650">
        <f>F16*J16</f>
        <v>112</v>
      </c>
      <c r="L16" s="650">
        <f>I16+K16</f>
        <v>366.65</v>
      </c>
      <c r="M16" s="344"/>
    </row>
    <row r="17" spans="1:24">
      <c r="A17" s="1021">
        <v>4</v>
      </c>
      <c r="B17" s="1022" t="s">
        <v>434</v>
      </c>
      <c r="C17" s="678"/>
      <c r="D17" s="678"/>
      <c r="E17" s="678"/>
      <c r="F17" s="1026"/>
      <c r="G17" s="1027"/>
      <c r="H17" s="650"/>
      <c r="I17" s="650"/>
      <c r="J17" s="650"/>
      <c r="K17" s="650"/>
      <c r="L17" s="650"/>
      <c r="M17" s="344"/>
    </row>
    <row r="18" spans="1:24" s="997" customFormat="1" hidden="1">
      <c r="A18" s="1028"/>
      <c r="B18" s="1029" t="s">
        <v>435</v>
      </c>
      <c r="C18" s="1030"/>
      <c r="D18" s="1030"/>
      <c r="E18" s="1030"/>
      <c r="F18" s="1031">
        <v>11</v>
      </c>
      <c r="G18" s="1032" t="s">
        <v>73</v>
      </c>
      <c r="H18" s="650">
        <f>ไม้แบบ!AH10</f>
        <v>0</v>
      </c>
      <c r="I18" s="650">
        <f t="shared" ref="I18:I25" si="0">F18*H18</f>
        <v>0</v>
      </c>
      <c r="J18" s="650">
        <f>ไม้แบบ!AH12</f>
        <v>310.95999999999998</v>
      </c>
      <c r="K18" s="650">
        <f t="shared" ref="K18:K25" si="1">F18*J18</f>
        <v>3420.56</v>
      </c>
      <c r="L18" s="650">
        <f t="shared" ref="L18:L25" si="2">I18+K18</f>
        <v>3420.56</v>
      </c>
      <c r="M18" s="1095"/>
    </row>
    <row r="19" spans="1:24" s="997" customFormat="1" hidden="1">
      <c r="A19" s="1028"/>
      <c r="B19" s="1029" t="s">
        <v>436</v>
      </c>
      <c r="C19" s="1030"/>
      <c r="D19" s="1030"/>
      <c r="E19" s="1030"/>
      <c r="F19" s="1031">
        <v>32</v>
      </c>
      <c r="G19" s="1032" t="s">
        <v>83</v>
      </c>
      <c r="H19" s="650">
        <f>ไม้แบบ!AH11</f>
        <v>139</v>
      </c>
      <c r="I19" s="650">
        <f t="shared" si="0"/>
        <v>4448</v>
      </c>
      <c r="J19" s="650">
        <f>ไม้แบบ!AH13</f>
        <v>310</v>
      </c>
      <c r="K19" s="650">
        <f t="shared" si="1"/>
        <v>9920</v>
      </c>
      <c r="L19" s="650">
        <f t="shared" si="2"/>
        <v>14368</v>
      </c>
      <c r="M19" s="1095"/>
    </row>
    <row r="20" spans="1:24" s="997" customFormat="1" hidden="1">
      <c r="A20" s="1028"/>
      <c r="B20" s="1029" t="s">
        <v>437</v>
      </c>
      <c r="C20" s="1030"/>
      <c r="D20" s="1030"/>
      <c r="E20" s="1030"/>
      <c r="F20" s="1031">
        <v>8</v>
      </c>
      <c r="G20" s="1032" t="s">
        <v>73</v>
      </c>
      <c r="H20" s="650">
        <f>ไม้แบบ!AH12</f>
        <v>310.95999999999998</v>
      </c>
      <c r="I20" s="650">
        <f t="shared" si="0"/>
        <v>2487.6799999999998</v>
      </c>
      <c r="J20" s="650">
        <f>ไม้แบบ!AH14</f>
        <v>0</v>
      </c>
      <c r="K20" s="650">
        <f t="shared" si="1"/>
        <v>0</v>
      </c>
      <c r="L20" s="650">
        <f t="shared" si="2"/>
        <v>2487.6799999999998</v>
      </c>
      <c r="M20" s="1095"/>
    </row>
    <row r="21" spans="1:24" s="997" customFormat="1" hidden="1">
      <c r="A21" s="1028"/>
      <c r="B21" s="1029" t="s">
        <v>438</v>
      </c>
      <c r="C21" s="1030"/>
      <c r="D21" s="1030"/>
      <c r="E21" s="1030"/>
      <c r="F21" s="1031">
        <v>8</v>
      </c>
      <c r="G21" s="1032" t="s">
        <v>81</v>
      </c>
      <c r="H21" s="650">
        <f>ไม้แบบ!AH13</f>
        <v>310</v>
      </c>
      <c r="I21" s="650">
        <f t="shared" si="0"/>
        <v>2480</v>
      </c>
      <c r="J21" s="650">
        <f>ไม้แบบ!AH15</f>
        <v>0</v>
      </c>
      <c r="K21" s="650">
        <f t="shared" si="1"/>
        <v>0</v>
      </c>
      <c r="L21" s="650">
        <f t="shared" si="2"/>
        <v>2480</v>
      </c>
      <c r="M21" s="1095"/>
    </row>
    <row r="22" spans="1:24" s="998" customFormat="1">
      <c r="A22" s="1033"/>
      <c r="B22" s="1034" t="s">
        <v>439</v>
      </c>
      <c r="C22" s="1035"/>
      <c r="D22" s="1035"/>
      <c r="E22" s="1035"/>
      <c r="F22" s="1036">
        <v>15</v>
      </c>
      <c r="G22" s="1037" t="s">
        <v>73</v>
      </c>
      <c r="H22" s="704">
        <f>'2.ข้อมูลวัสดุ'!D30</f>
        <v>532.71</v>
      </c>
      <c r="I22" s="704">
        <f t="shared" si="0"/>
        <v>7990.6500000000005</v>
      </c>
      <c r="J22" s="704">
        <f>ไม้แบบ!AH16</f>
        <v>0</v>
      </c>
      <c r="K22" s="704">
        <f t="shared" si="1"/>
        <v>0</v>
      </c>
      <c r="L22" s="704">
        <f t="shared" si="2"/>
        <v>7990.6500000000005</v>
      </c>
      <c r="M22" s="1096"/>
      <c r="N22" s="1097"/>
      <c r="O22" s="1097"/>
      <c r="P22" s="1097"/>
      <c r="Q22" s="1097"/>
      <c r="R22" s="1097"/>
      <c r="S22" s="1097"/>
      <c r="T22" s="1097"/>
      <c r="U22" s="1097"/>
      <c r="V22" s="1097"/>
      <c r="W22" s="1097"/>
      <c r="X22" s="1097"/>
    </row>
    <row r="23" spans="1:24" s="998" customFormat="1">
      <c r="A23" s="1033"/>
      <c r="B23" s="1038" t="s">
        <v>440</v>
      </c>
      <c r="C23" s="1035"/>
      <c r="D23" s="1035"/>
      <c r="E23" s="1035"/>
      <c r="F23" s="1039">
        <v>32</v>
      </c>
      <c r="G23" s="1040" t="s">
        <v>83</v>
      </c>
      <c r="H23" s="704">
        <f>ไม้แบบ!AH15</f>
        <v>0</v>
      </c>
      <c r="I23" s="704">
        <f t="shared" si="0"/>
        <v>0</v>
      </c>
      <c r="J23" s="704">
        <v>139</v>
      </c>
      <c r="K23" s="704">
        <f t="shared" si="1"/>
        <v>4448</v>
      </c>
      <c r="L23" s="704">
        <f t="shared" si="2"/>
        <v>4448</v>
      </c>
      <c r="M23" s="1096"/>
      <c r="N23" s="1097"/>
      <c r="O23" s="1097"/>
      <c r="P23" s="1097"/>
      <c r="Q23" s="1097"/>
      <c r="R23" s="1097"/>
      <c r="S23" s="1097"/>
      <c r="T23" s="1097"/>
      <c r="U23" s="1097"/>
      <c r="V23" s="1097"/>
      <c r="W23" s="1097"/>
      <c r="X23" s="1097"/>
    </row>
    <row r="24" spans="1:24" s="998" customFormat="1">
      <c r="A24" s="1033"/>
      <c r="B24" s="1038" t="s">
        <v>441</v>
      </c>
      <c r="C24" s="1035"/>
      <c r="D24" s="1035"/>
      <c r="E24" s="1035"/>
      <c r="F24" s="1039">
        <v>8</v>
      </c>
      <c r="G24" s="1040" t="s">
        <v>73</v>
      </c>
      <c r="H24" s="704">
        <f>'2.ข้อมูลวัสดุ'!D32</f>
        <v>443.93</v>
      </c>
      <c r="I24" s="704">
        <f t="shared" si="0"/>
        <v>3551.44</v>
      </c>
      <c r="J24" s="704">
        <v>0</v>
      </c>
      <c r="K24" s="704">
        <f t="shared" si="1"/>
        <v>0</v>
      </c>
      <c r="L24" s="704">
        <f t="shared" si="2"/>
        <v>3551.44</v>
      </c>
      <c r="M24" s="1096"/>
      <c r="N24" s="1097"/>
      <c r="O24" s="1097"/>
      <c r="P24" s="1097"/>
      <c r="Q24" s="1097"/>
      <c r="R24" s="1097"/>
      <c r="S24" s="1097"/>
      <c r="T24" s="1097"/>
      <c r="U24" s="1097"/>
      <c r="V24" s="1097"/>
      <c r="W24" s="1097"/>
      <c r="X24" s="1097"/>
    </row>
    <row r="25" spans="1:24" s="998" customFormat="1">
      <c r="A25" s="1033"/>
      <c r="B25" s="1041" t="s">
        <v>442</v>
      </c>
      <c r="C25" s="1035"/>
      <c r="D25" s="1035"/>
      <c r="E25" s="1035"/>
      <c r="F25" s="1042">
        <v>8</v>
      </c>
      <c r="G25" s="1043" t="s">
        <v>81</v>
      </c>
      <c r="H25" s="704">
        <f>'2.ข้อมูลวัสดุ'!D35</f>
        <v>51.41</v>
      </c>
      <c r="I25" s="704">
        <f t="shared" si="0"/>
        <v>411.28</v>
      </c>
      <c r="J25" s="704">
        <v>0</v>
      </c>
      <c r="K25" s="704">
        <f t="shared" si="1"/>
        <v>0</v>
      </c>
      <c r="L25" s="704">
        <f t="shared" si="2"/>
        <v>411.28</v>
      </c>
      <c r="M25" s="1096"/>
      <c r="N25" s="1097"/>
      <c r="O25" s="1097"/>
      <c r="P25" s="1097"/>
      <c r="Q25" s="1097"/>
      <c r="R25" s="1097"/>
      <c r="S25" s="1097"/>
      <c r="T25" s="1097"/>
      <c r="U25" s="1097"/>
      <c r="V25" s="1097"/>
      <c r="W25" s="1097"/>
      <c r="X25" s="1097"/>
    </row>
    <row r="26" spans="1:24">
      <c r="A26" s="1021">
        <v>5</v>
      </c>
      <c r="B26" s="1022" t="s">
        <v>443</v>
      </c>
      <c r="C26" s="678"/>
      <c r="D26" s="678"/>
      <c r="E26" s="678"/>
      <c r="F26" s="1026"/>
      <c r="G26" s="1027"/>
      <c r="H26" s="327"/>
      <c r="I26" s="327"/>
      <c r="J26" s="327"/>
      <c r="K26" s="327"/>
      <c r="L26" s="327"/>
      <c r="M26" s="344"/>
    </row>
    <row r="27" spans="1:24">
      <c r="A27" s="1024"/>
      <c r="B27" s="1044" t="s">
        <v>543</v>
      </c>
      <c r="C27" s="678"/>
      <c r="D27" s="678"/>
      <c r="E27" s="678"/>
      <c r="F27" s="1026">
        <v>3</v>
      </c>
      <c r="G27" s="1027" t="s">
        <v>184</v>
      </c>
      <c r="H27" s="650">
        <v>2227.5700000000002</v>
      </c>
      <c r="I27" s="650">
        <f>F27*H27</f>
        <v>6682.7100000000009</v>
      </c>
      <c r="J27" s="650">
        <v>426</v>
      </c>
      <c r="K27" s="650">
        <f>F27*J27</f>
        <v>1278</v>
      </c>
      <c r="L27" s="650">
        <f>I27+K27</f>
        <v>7960.7100000000009</v>
      </c>
      <c r="M27" s="344"/>
    </row>
    <row r="28" spans="1:24">
      <c r="A28" s="1045"/>
      <c r="B28" s="1046" t="s">
        <v>544</v>
      </c>
      <c r="C28" s="1047"/>
      <c r="D28" s="678"/>
      <c r="E28" s="678"/>
      <c r="F28" s="1026">
        <v>6</v>
      </c>
      <c r="G28" s="1027" t="s">
        <v>184</v>
      </c>
      <c r="H28" s="650">
        <v>2336.4499999999998</v>
      </c>
      <c r="I28" s="650">
        <f>F28*H28</f>
        <v>14018.699999999999</v>
      </c>
      <c r="J28" s="650">
        <v>419</v>
      </c>
      <c r="K28" s="650">
        <f>F28*J28</f>
        <v>2514</v>
      </c>
      <c r="L28" s="650">
        <f>I28+K28</f>
        <v>16532.699999999997</v>
      </c>
      <c r="M28" s="1098"/>
      <c r="N28" s="2012">
        <f>M28+K28</f>
        <v>2514</v>
      </c>
      <c r="O28" s="2013"/>
      <c r="P28" s="344"/>
    </row>
    <row r="29" spans="1:24">
      <c r="A29" s="1048"/>
      <c r="B29" s="1049" t="s">
        <v>545</v>
      </c>
      <c r="C29" s="1050"/>
      <c r="D29" s="1051"/>
      <c r="E29" s="1051"/>
      <c r="F29" s="1052"/>
      <c r="G29" s="1053"/>
      <c r="H29" s="1054"/>
      <c r="I29" s="1099"/>
      <c r="J29" s="1054"/>
      <c r="K29" s="1054"/>
      <c r="L29" s="1054"/>
      <c r="M29" s="1100"/>
      <c r="N29" s="1101"/>
      <c r="O29" s="1102"/>
      <c r="P29" s="344"/>
    </row>
    <row r="30" spans="1:24" s="997" customFormat="1" ht="21" customHeight="1">
      <c r="A30" s="1055"/>
      <c r="B30" s="1056"/>
      <c r="C30" s="1057"/>
      <c r="D30" s="1058"/>
      <c r="E30" s="1058"/>
      <c r="F30" s="1059"/>
      <c r="G30" s="1060"/>
      <c r="H30" s="1061"/>
      <c r="I30" s="1059"/>
      <c r="J30" s="1103"/>
      <c r="K30" s="1104" t="s">
        <v>444</v>
      </c>
      <c r="L30" s="720">
        <f>L13+L15+L16+L22+L23+L24+L25+L27+L28</f>
        <v>51501.429999999993</v>
      </c>
      <c r="M30" s="1105" t="s">
        <v>445</v>
      </c>
      <c r="N30" s="1106"/>
    </row>
    <row r="31" spans="1:24" s="997" customFormat="1" ht="21" customHeight="1">
      <c r="A31" s="992"/>
      <c r="B31" s="1062"/>
      <c r="C31" s="1063"/>
      <c r="D31" s="336"/>
      <c r="E31" s="336"/>
      <c r="F31" s="688"/>
      <c r="G31" s="1064"/>
      <c r="H31" s="1065"/>
      <c r="I31" s="688"/>
      <c r="J31" s="1107"/>
      <c r="K31" s="992"/>
      <c r="L31" s="1108"/>
      <c r="M31" s="992"/>
      <c r="N31" s="1106"/>
    </row>
    <row r="32" spans="1:24" s="997" customFormat="1" ht="21" customHeight="1">
      <c r="A32" s="992"/>
      <c r="B32" s="1062"/>
      <c r="C32" s="1063"/>
      <c r="D32" s="336"/>
      <c r="E32" s="336"/>
      <c r="F32" s="688"/>
      <c r="G32" s="1064"/>
      <c r="H32" s="1065"/>
      <c r="I32" s="688"/>
      <c r="J32" s="1107"/>
      <c r="K32" s="992"/>
      <c r="L32" s="1108"/>
      <c r="M32" s="992"/>
      <c r="N32" s="1106"/>
    </row>
    <row r="33" spans="1:16" s="997" customFormat="1" ht="21" customHeight="1" thickBot="1">
      <c r="A33" s="1066"/>
      <c r="B33" s="1067"/>
      <c r="C33" s="1068"/>
      <c r="D33" s="114"/>
      <c r="E33" s="114"/>
      <c r="F33" s="114"/>
      <c r="G33" s="337"/>
      <c r="H33" s="1069"/>
      <c r="I33" s="1069"/>
      <c r="J33" s="1109"/>
      <c r="K33" s="688"/>
      <c r="L33" s="999"/>
      <c r="M33" s="1791" t="s">
        <v>1092</v>
      </c>
      <c r="N33" s="1106"/>
    </row>
    <row r="34" spans="1:16" s="997" customFormat="1" ht="21" customHeight="1">
      <c r="A34" s="1588" t="s">
        <v>310</v>
      </c>
      <c r="B34" s="1592" t="s">
        <v>96</v>
      </c>
      <c r="C34" s="1596"/>
      <c r="D34" s="1596"/>
      <c r="E34" s="1792"/>
      <c r="F34" s="1590" t="s">
        <v>179</v>
      </c>
      <c r="G34" s="1784" t="s">
        <v>11</v>
      </c>
      <c r="H34" s="1586" t="s">
        <v>107</v>
      </c>
      <c r="I34" s="1587"/>
      <c r="J34" s="1586" t="s">
        <v>394</v>
      </c>
      <c r="K34" s="1587"/>
      <c r="L34" s="711" t="s">
        <v>109</v>
      </c>
      <c r="M34" s="1594" t="s">
        <v>100</v>
      </c>
      <c r="N34" s="1106"/>
    </row>
    <row r="35" spans="1:16" s="999" customFormat="1" ht="18.600000000000001" thickBot="1">
      <c r="A35" s="1589"/>
      <c r="B35" s="1593"/>
      <c r="C35" s="1597"/>
      <c r="D35" s="1597"/>
      <c r="E35" s="1793"/>
      <c r="F35" s="1591"/>
      <c r="G35" s="1785"/>
      <c r="H35" s="316" t="s">
        <v>180</v>
      </c>
      <c r="I35" s="316" t="s">
        <v>428</v>
      </c>
      <c r="J35" s="316" t="s">
        <v>180</v>
      </c>
      <c r="K35" s="316" t="s">
        <v>319</v>
      </c>
      <c r="L35" s="316" t="s">
        <v>429</v>
      </c>
      <c r="M35" s="1595"/>
      <c r="N35" s="1110"/>
      <c r="O35" s="1003"/>
      <c r="P35" s="114"/>
    </row>
    <row r="36" spans="1:16" ht="18.600000000000001" thickBot="1">
      <c r="A36" s="1070"/>
      <c r="B36" s="1071"/>
      <c r="C36" s="1072"/>
      <c r="D36" s="1072"/>
      <c r="E36" s="1072"/>
      <c r="F36" s="1072"/>
      <c r="G36" s="1073"/>
      <c r="H36" s="1074"/>
      <c r="I36" s="1111"/>
      <c r="J36" s="1111"/>
      <c r="K36" s="1112" t="s">
        <v>446</v>
      </c>
      <c r="L36" s="1113">
        <f>L30</f>
        <v>51501.429999999993</v>
      </c>
      <c r="M36" s="1114" t="s">
        <v>445</v>
      </c>
    </row>
    <row r="37" spans="1:16">
      <c r="A37" s="1075">
        <v>6</v>
      </c>
      <c r="B37" s="1076" t="s">
        <v>327</v>
      </c>
      <c r="C37" s="674"/>
      <c r="D37" s="674"/>
      <c r="E37" s="674"/>
      <c r="F37" s="1036"/>
      <c r="G37" s="1077"/>
      <c r="H37" s="677"/>
      <c r="I37" s="677"/>
      <c r="J37" s="677"/>
      <c r="K37" s="677"/>
      <c r="L37" s="1134"/>
      <c r="M37" s="716"/>
    </row>
    <row r="38" spans="1:16">
      <c r="A38" s="1024"/>
      <c r="B38" s="1078" t="s">
        <v>546</v>
      </c>
      <c r="C38" s="678"/>
      <c r="D38" s="678"/>
      <c r="E38" s="678"/>
      <c r="F38" s="1039">
        <v>55</v>
      </c>
      <c r="G38" s="1027" t="s">
        <v>81</v>
      </c>
      <c r="H38" s="650">
        <f>'2.ข้อมูลวัสดุ'!D7/1000</f>
        <v>23.14977</v>
      </c>
      <c r="I38" s="650">
        <f>F38*H38</f>
        <v>1273.2373500000001</v>
      </c>
      <c r="J38" s="650">
        <v>4.4000000000000004</v>
      </c>
      <c r="K38" s="650">
        <f>F38*J38</f>
        <v>242.00000000000003</v>
      </c>
      <c r="L38" s="650">
        <f>I38+K38</f>
        <v>1515.2373500000001</v>
      </c>
      <c r="M38" s="1115"/>
    </row>
    <row r="39" spans="1:16">
      <c r="A39" s="1024"/>
      <c r="B39" s="1078" t="s">
        <v>547</v>
      </c>
      <c r="C39" s="678"/>
      <c r="D39" s="678"/>
      <c r="E39" s="678"/>
      <c r="F39" s="1039">
        <v>300</v>
      </c>
      <c r="G39" s="1027" t="s">
        <v>81</v>
      </c>
      <c r="H39" s="650">
        <f>'2.ข้อมูลวัสดุ'!D9/1000</f>
        <v>22.099070000000001</v>
      </c>
      <c r="I39" s="650">
        <f>F39*H39</f>
        <v>6629.7210000000005</v>
      </c>
      <c r="J39" s="650">
        <v>3.6</v>
      </c>
      <c r="K39" s="650">
        <f>F39*J39</f>
        <v>1080</v>
      </c>
      <c r="L39" s="650">
        <f>I39+K39</f>
        <v>7709.7210000000005</v>
      </c>
      <c r="M39" s="1115"/>
    </row>
    <row r="40" spans="1:16">
      <c r="A40" s="1024"/>
      <c r="B40" s="1078" t="s">
        <v>548</v>
      </c>
      <c r="C40" s="678"/>
      <c r="D40" s="678"/>
      <c r="E40" s="678"/>
      <c r="F40" s="1039">
        <v>15</v>
      </c>
      <c r="G40" s="1027" t="s">
        <v>81</v>
      </c>
      <c r="H40" s="650">
        <f>'2.ข้อมูลวัสดุ'!D15</f>
        <v>51.4</v>
      </c>
      <c r="I40" s="650">
        <f>F40*H40</f>
        <v>771</v>
      </c>
      <c r="J40" s="650">
        <v>0</v>
      </c>
      <c r="K40" s="650">
        <f>F40*J40</f>
        <v>0</v>
      </c>
      <c r="L40" s="650">
        <f>I40+K40</f>
        <v>771</v>
      </c>
      <c r="M40" s="1115"/>
    </row>
    <row r="41" spans="1:16">
      <c r="A41" s="1079"/>
      <c r="B41" s="1019" t="s">
        <v>549</v>
      </c>
      <c r="C41" s="1014"/>
      <c r="D41" s="1014"/>
      <c r="E41" s="1080"/>
      <c r="F41" s="1081">
        <v>16</v>
      </c>
      <c r="G41" s="1082" t="s">
        <v>195</v>
      </c>
      <c r="H41" s="1083">
        <v>250</v>
      </c>
      <c r="I41" s="1017">
        <f>F41*H41</f>
        <v>4000</v>
      </c>
      <c r="J41" s="1083">
        <v>0</v>
      </c>
      <c r="K41" s="1017">
        <f>F41*J41</f>
        <v>0</v>
      </c>
      <c r="L41" s="1017">
        <f>I41+K41</f>
        <v>4000</v>
      </c>
      <c r="M41" s="1116"/>
    </row>
    <row r="42" spans="1:16" ht="21" customHeight="1">
      <c r="A42" s="1079"/>
      <c r="B42" s="1767" t="s">
        <v>1085</v>
      </c>
      <c r="C42" s="1014"/>
      <c r="D42" s="1014"/>
      <c r="E42" s="1080"/>
      <c r="F42" s="1081">
        <v>4</v>
      </c>
      <c r="G42" s="1082" t="s">
        <v>75</v>
      </c>
      <c r="H42" s="1083">
        <v>562</v>
      </c>
      <c r="I42" s="1017">
        <f>F42*H42</f>
        <v>2248</v>
      </c>
      <c r="J42" s="1083">
        <v>0</v>
      </c>
      <c r="K42" s="1017">
        <f>F42*J42</f>
        <v>0</v>
      </c>
      <c r="L42" s="1017">
        <f>I42+K42</f>
        <v>2248</v>
      </c>
      <c r="M42" s="1116"/>
    </row>
    <row r="43" spans="1:16" s="1000" customFormat="1" ht="21" customHeight="1">
      <c r="A43" s="1079"/>
      <c r="B43" s="1019"/>
      <c r="C43" s="1014"/>
      <c r="D43" s="1014"/>
      <c r="E43" s="1080"/>
      <c r="F43" s="1081"/>
      <c r="G43" s="1082"/>
      <c r="H43" s="1083"/>
      <c r="I43" s="1017"/>
      <c r="J43" s="1083"/>
      <c r="K43" s="1017"/>
      <c r="L43" s="1017"/>
      <c r="M43" s="1116"/>
      <c r="N43" s="1117"/>
    </row>
    <row r="44" spans="1:16" s="1000" customFormat="1" ht="21" customHeight="1">
      <c r="A44" s="1084">
        <v>7</v>
      </c>
      <c r="B44" s="1085" t="s">
        <v>550</v>
      </c>
      <c r="C44" s="1086"/>
      <c r="D44" s="678"/>
      <c r="E44" s="678"/>
      <c r="F44" s="1023"/>
      <c r="G44" s="678"/>
      <c r="H44" s="650"/>
      <c r="I44" s="650"/>
      <c r="J44" s="650"/>
      <c r="K44" s="650"/>
      <c r="L44" s="650"/>
      <c r="M44" s="1115"/>
      <c r="N44" s="1117"/>
    </row>
    <row r="45" spans="1:16" s="1000" customFormat="1" ht="21" customHeight="1">
      <c r="A45" s="1087"/>
      <c r="B45" s="1748" t="s">
        <v>1077</v>
      </c>
      <c r="C45" s="1089"/>
      <c r="D45" s="678"/>
      <c r="E45" s="678"/>
      <c r="F45" s="1090">
        <f>N47*6*8.36</f>
        <v>401.28</v>
      </c>
      <c r="G45" s="1091" t="s">
        <v>81</v>
      </c>
      <c r="H45" s="650">
        <f>'3.สืบท่อโฟมลูกรังทรายเหล็กป้าย'!G39/50.16</f>
        <v>31.674441786283893</v>
      </c>
      <c r="I45" s="650">
        <f t="shared" ref="I45:I50" si="3">F45*H45</f>
        <v>12710.32</v>
      </c>
      <c r="J45" s="650">
        <v>12</v>
      </c>
      <c r="K45" s="650">
        <f t="shared" ref="K45:K50" si="4">F45*J45</f>
        <v>4815.3599999999997</v>
      </c>
      <c r="L45" s="650">
        <f t="shared" ref="L45:L50" si="5">I45+K45</f>
        <v>17525.68</v>
      </c>
      <c r="M45" s="1115"/>
      <c r="N45" s="1117"/>
    </row>
    <row r="46" spans="1:16" ht="21">
      <c r="A46" s="1087"/>
      <c r="B46" s="1088" t="s">
        <v>1078</v>
      </c>
      <c r="C46" s="1089"/>
      <c r="D46" s="678"/>
      <c r="E46" s="678"/>
      <c r="F46" s="1090">
        <f>N49*6*6.42</f>
        <v>154.07999999999998</v>
      </c>
      <c r="G46" s="1091" t="s">
        <v>81</v>
      </c>
      <c r="H46" s="650">
        <f>'3.สืบท่อโฟมลูกรังทรายเหล็กป้าย'!G40/38.52</f>
        <v>34.573727933541015</v>
      </c>
      <c r="I46" s="650">
        <f t="shared" si="3"/>
        <v>5327.119999999999</v>
      </c>
      <c r="J46" s="650">
        <v>12</v>
      </c>
      <c r="K46" s="650">
        <f t="shared" si="4"/>
        <v>1848.9599999999998</v>
      </c>
      <c r="L46" s="650">
        <f t="shared" si="5"/>
        <v>7176.079999999999</v>
      </c>
      <c r="M46" s="1115"/>
    </row>
    <row r="47" spans="1:16" ht="21">
      <c r="A47" s="1087"/>
      <c r="B47" s="1088" t="s">
        <v>1079</v>
      </c>
      <c r="C47" s="1089"/>
      <c r="D47" s="678"/>
      <c r="E47" s="678"/>
      <c r="F47" s="1090">
        <f>N51*6*5.03</f>
        <v>814.86</v>
      </c>
      <c r="G47" s="1091" t="s">
        <v>81</v>
      </c>
      <c r="H47" s="650">
        <f>'3.สืบท่อโฟมลูกรังทรายเหล็กป้าย'!G41/30.18</f>
        <v>23.534791252485089</v>
      </c>
      <c r="I47" s="650">
        <f t="shared" si="3"/>
        <v>19177.560000000001</v>
      </c>
      <c r="J47" s="650">
        <v>12</v>
      </c>
      <c r="K47" s="650">
        <f t="shared" si="4"/>
        <v>9778.32</v>
      </c>
      <c r="L47" s="650">
        <f t="shared" si="5"/>
        <v>28955.88</v>
      </c>
      <c r="M47" s="1115"/>
      <c r="N47" s="1118">
        <v>8</v>
      </c>
      <c r="O47" s="1091" t="s">
        <v>65</v>
      </c>
    </row>
    <row r="48" spans="1:16" ht="21">
      <c r="A48" s="1087"/>
      <c r="B48" s="1088" t="s">
        <v>1080</v>
      </c>
      <c r="C48" s="1089"/>
      <c r="D48" s="678"/>
      <c r="E48" s="678"/>
      <c r="F48" s="1090">
        <f>N53*6*3.1</f>
        <v>595.20000000000005</v>
      </c>
      <c r="G48" s="1091" t="s">
        <v>81</v>
      </c>
      <c r="H48" s="650">
        <f>'3.สืบท่อโฟมลูกรังทรายเหล็กป้าย'!G42/6/3.1</f>
        <v>28.137634408602153</v>
      </c>
      <c r="I48" s="650">
        <f t="shared" si="3"/>
        <v>16747.520000000004</v>
      </c>
      <c r="J48" s="650">
        <v>12</v>
      </c>
      <c r="K48" s="650">
        <f t="shared" si="4"/>
        <v>7142.4000000000005</v>
      </c>
      <c r="L48" s="650">
        <f t="shared" si="5"/>
        <v>23889.920000000006</v>
      </c>
      <c r="M48" s="1115"/>
      <c r="N48" s="1119">
        <v>7</v>
      </c>
      <c r="O48" s="1091" t="s">
        <v>447</v>
      </c>
    </row>
    <row r="49" spans="1:21" ht="21">
      <c r="A49" s="1087"/>
      <c r="B49" s="1088" t="s">
        <v>1081</v>
      </c>
      <c r="C49" s="1089"/>
      <c r="D49" s="678"/>
      <c r="E49" s="678"/>
      <c r="F49" s="1090">
        <f>N55*6*1.56</f>
        <v>37.44</v>
      </c>
      <c r="G49" s="1091" t="s">
        <v>81</v>
      </c>
      <c r="H49" s="650">
        <f>'3.สืบท่อโฟมลูกรังทรายเหล็กป้าย'!G44/6/1.56</f>
        <v>34.722222222222221</v>
      </c>
      <c r="I49" s="650">
        <f t="shared" si="3"/>
        <v>1300</v>
      </c>
      <c r="J49" s="650">
        <v>12</v>
      </c>
      <c r="K49" s="650">
        <f t="shared" si="4"/>
        <v>449.28</v>
      </c>
      <c r="L49" s="650">
        <f t="shared" si="5"/>
        <v>1749.28</v>
      </c>
      <c r="M49" s="1115"/>
      <c r="N49" s="1118">
        <v>4</v>
      </c>
      <c r="O49" s="1091" t="s">
        <v>65</v>
      </c>
    </row>
    <row r="50" spans="1:21" ht="21">
      <c r="A50" s="1087"/>
      <c r="B50" s="1088" t="s">
        <v>551</v>
      </c>
      <c r="C50" s="1089"/>
      <c r="D50" s="678"/>
      <c r="E50" s="678"/>
      <c r="F50" s="1090">
        <f>N56*26.84</f>
        <v>80.52</v>
      </c>
      <c r="G50" s="1091" t="s">
        <v>81</v>
      </c>
      <c r="H50" s="650">
        <f>'3.สืบท่อโฟมลูกรังทรายเหล็กป้าย'!G43/26.84</f>
        <v>24.339418777943369</v>
      </c>
      <c r="I50" s="650">
        <f t="shared" si="3"/>
        <v>1959.81</v>
      </c>
      <c r="J50" s="650">
        <v>12</v>
      </c>
      <c r="K50" s="650">
        <f t="shared" si="4"/>
        <v>966.24</v>
      </c>
      <c r="L50" s="650">
        <f t="shared" si="5"/>
        <v>2926.05</v>
      </c>
      <c r="M50" s="1115"/>
      <c r="N50" s="1119">
        <v>3</v>
      </c>
      <c r="O50" s="1091" t="s">
        <v>447</v>
      </c>
    </row>
    <row r="51" spans="1:21" ht="21.6" thickBot="1">
      <c r="A51" s="1087"/>
      <c r="B51" s="1749"/>
      <c r="C51" s="1088"/>
      <c r="D51" s="1088"/>
      <c r="E51" s="1089"/>
      <c r="F51" s="1090"/>
      <c r="G51" s="1090"/>
      <c r="H51" s="650"/>
      <c r="I51" s="650"/>
      <c r="J51" s="650"/>
      <c r="K51" s="650"/>
      <c r="L51" s="650"/>
      <c r="M51" s="1115"/>
      <c r="N51" s="1118">
        <v>27</v>
      </c>
      <c r="O51" s="1091" t="s">
        <v>65</v>
      </c>
    </row>
    <row r="52" spans="1:21" ht="21.6" thickBot="1">
      <c r="A52" s="1750"/>
      <c r="B52" s="1056"/>
      <c r="C52" s="1057"/>
      <c r="D52" s="1058"/>
      <c r="E52" s="1058"/>
      <c r="F52" s="1059"/>
      <c r="G52" s="1060"/>
      <c r="H52" s="1061"/>
      <c r="I52" s="1059"/>
      <c r="J52" s="1103"/>
      <c r="K52" s="1104" t="s">
        <v>444</v>
      </c>
      <c r="L52" s="720">
        <f>L36+L38+L39+L40+L41+L42+L45+L46+L47+L48+L49+L50</f>
        <v>149968.27834999998</v>
      </c>
      <c r="M52" s="1105" t="s">
        <v>445</v>
      </c>
      <c r="N52" s="1119">
        <v>26</v>
      </c>
      <c r="O52" s="1091" t="s">
        <v>447</v>
      </c>
    </row>
    <row r="53" spans="1:21" ht="21">
      <c r="N53" s="1118">
        <v>32</v>
      </c>
      <c r="O53" s="1091" t="s">
        <v>65</v>
      </c>
    </row>
    <row r="54" spans="1:21" ht="21">
      <c r="N54" s="1119">
        <v>31</v>
      </c>
      <c r="O54" s="1091" t="s">
        <v>447</v>
      </c>
    </row>
    <row r="55" spans="1:21" ht="21.6" thickBot="1">
      <c r="A55" s="1066"/>
      <c r="B55" s="1067"/>
      <c r="C55" s="1068"/>
      <c r="D55" s="114"/>
      <c r="E55" s="114"/>
      <c r="F55" s="114"/>
      <c r="G55" s="337"/>
      <c r="H55" s="1069"/>
      <c r="I55" s="1069"/>
      <c r="J55" s="1109"/>
      <c r="K55" s="688"/>
      <c r="L55" s="999"/>
      <c r="M55" s="1791" t="s">
        <v>1091</v>
      </c>
      <c r="N55" s="1118">
        <v>4</v>
      </c>
      <c r="O55" s="1091" t="s">
        <v>65</v>
      </c>
    </row>
    <row r="56" spans="1:21" ht="21">
      <c r="A56" s="1588" t="s">
        <v>310</v>
      </c>
      <c r="B56" s="1592" t="s">
        <v>96</v>
      </c>
      <c r="C56" s="1596"/>
      <c r="D56" s="1596"/>
      <c r="E56" s="1596"/>
      <c r="F56" s="1590" t="s">
        <v>179</v>
      </c>
      <c r="G56" s="1592" t="s">
        <v>11</v>
      </c>
      <c r="H56" s="1586" t="s">
        <v>107</v>
      </c>
      <c r="I56" s="1587"/>
      <c r="J56" s="1586" t="s">
        <v>394</v>
      </c>
      <c r="K56" s="1587"/>
      <c r="L56" s="711" t="s">
        <v>109</v>
      </c>
      <c r="M56" s="1594" t="s">
        <v>100</v>
      </c>
      <c r="N56" s="336">
        <v>3</v>
      </c>
      <c r="O56" s="1091" t="s">
        <v>65</v>
      </c>
      <c r="P56" s="337">
        <f>SUM(K45:K52)</f>
        <v>25000.560000000001</v>
      </c>
    </row>
    <row r="57" spans="1:21" s="997" customFormat="1" ht="21" customHeight="1" thickBot="1">
      <c r="A57" s="1589"/>
      <c r="B57" s="1593"/>
      <c r="C57" s="1597"/>
      <c r="D57" s="1597"/>
      <c r="E57" s="1597"/>
      <c r="F57" s="1591"/>
      <c r="G57" s="1593"/>
      <c r="H57" s="316" t="s">
        <v>180</v>
      </c>
      <c r="I57" s="316" t="s">
        <v>428</v>
      </c>
      <c r="J57" s="316" t="s">
        <v>180</v>
      </c>
      <c r="K57" s="316" t="s">
        <v>319</v>
      </c>
      <c r="L57" s="316" t="s">
        <v>429</v>
      </c>
      <c r="M57" s="1595"/>
      <c r="N57" s="1106"/>
    </row>
    <row r="58" spans="1:21" s="996" customFormat="1" ht="21" customHeight="1" thickBot="1">
      <c r="A58" s="1070"/>
      <c r="B58" s="1071"/>
      <c r="C58" s="1072"/>
      <c r="D58" s="1072"/>
      <c r="E58" s="1072"/>
      <c r="F58" s="1072"/>
      <c r="G58" s="1073"/>
      <c r="H58" s="1074"/>
      <c r="I58" s="1111"/>
      <c r="J58" s="1111"/>
      <c r="K58" s="1112" t="s">
        <v>446</v>
      </c>
      <c r="L58" s="1113">
        <f>L52</f>
        <v>149968.27834999998</v>
      </c>
      <c r="M58" s="1114" t="s">
        <v>445</v>
      </c>
      <c r="N58" s="1120"/>
    </row>
    <row r="59" spans="1:21" s="996" customFormat="1" ht="21" customHeight="1">
      <c r="A59" s="1121">
        <v>8</v>
      </c>
      <c r="B59" s="1019" t="s">
        <v>448</v>
      </c>
      <c r="C59" s="1014"/>
      <c r="D59" s="1014"/>
      <c r="E59" s="1080"/>
      <c r="F59" s="1122"/>
      <c r="G59" s="1123"/>
      <c r="H59" s="1017"/>
      <c r="I59" s="1017"/>
      <c r="J59" s="1017"/>
      <c r="K59" s="1017"/>
      <c r="L59" s="1017"/>
      <c r="M59" s="1149"/>
      <c r="N59" s="1120"/>
    </row>
    <row r="60" spans="1:21" s="996" customFormat="1" ht="21" customHeight="1">
      <c r="A60" s="1015"/>
      <c r="B60" s="1019" t="s">
        <v>552</v>
      </c>
      <c r="C60" s="1014"/>
      <c r="D60" s="1014"/>
      <c r="E60" s="1080"/>
      <c r="F60" s="1122">
        <v>17</v>
      </c>
      <c r="G60" s="1123" t="s">
        <v>65</v>
      </c>
      <c r="H60" s="1017">
        <v>320</v>
      </c>
      <c r="I60" s="1017">
        <f>F60*H60</f>
        <v>5440</v>
      </c>
      <c r="J60" s="1017">
        <v>0</v>
      </c>
      <c r="K60" s="1017">
        <f t="shared" ref="K60:K62" si="6">F60*J60</f>
        <v>0</v>
      </c>
      <c r="L60" s="1017">
        <f t="shared" ref="L60:L62" si="7">I60+K60</f>
        <v>5440</v>
      </c>
      <c r="M60" s="1150"/>
      <c r="N60" s="1120"/>
    </row>
    <row r="61" spans="1:21" s="999" customFormat="1">
      <c r="A61" s="1015"/>
      <c r="B61" s="1019" t="s">
        <v>553</v>
      </c>
      <c r="C61" s="1014"/>
      <c r="D61" s="1014"/>
      <c r="E61" s="1080"/>
      <c r="F61" s="1122">
        <v>10</v>
      </c>
      <c r="G61" s="1123" t="s">
        <v>65</v>
      </c>
      <c r="H61" s="1017">
        <v>150</v>
      </c>
      <c r="I61" s="1017">
        <v>1000</v>
      </c>
      <c r="J61" s="1017">
        <v>0</v>
      </c>
      <c r="K61" s="1017">
        <f t="shared" si="6"/>
        <v>0</v>
      </c>
      <c r="L61" s="1017">
        <f t="shared" si="7"/>
        <v>1000</v>
      </c>
      <c r="M61" s="1150"/>
      <c r="N61" s="1110"/>
      <c r="O61" s="1003"/>
      <c r="P61" s="114"/>
    </row>
    <row r="62" spans="1:21" s="996" customFormat="1" ht="21" thickBot="1">
      <c r="A62" s="1015"/>
      <c r="B62" s="1019" t="s">
        <v>554</v>
      </c>
      <c r="C62" s="1014"/>
      <c r="D62" s="1014"/>
      <c r="E62" s="1080"/>
      <c r="F62" s="1122">
        <v>55</v>
      </c>
      <c r="G62" s="1123" t="s">
        <v>195</v>
      </c>
      <c r="H62" s="1017">
        <v>5</v>
      </c>
      <c r="I62" s="1017">
        <f>F62*H62</f>
        <v>275</v>
      </c>
      <c r="J62" s="1017">
        <v>0</v>
      </c>
      <c r="K62" s="1017">
        <f t="shared" si="6"/>
        <v>0</v>
      </c>
      <c r="L62" s="1017">
        <f t="shared" si="7"/>
        <v>275</v>
      </c>
      <c r="M62" s="1151"/>
      <c r="N62" s="336"/>
      <c r="O62" s="336"/>
      <c r="P62" s="336"/>
      <c r="Q62" s="336"/>
      <c r="R62" s="336"/>
      <c r="S62" s="336"/>
      <c r="T62" s="336"/>
      <c r="U62" s="336"/>
    </row>
    <row r="63" spans="1:21" s="996" customFormat="1" ht="21" thickBot="1">
      <c r="A63" s="1124"/>
      <c r="B63" s="1125"/>
      <c r="C63" s="1126"/>
      <c r="D63" s="1072"/>
      <c r="E63" s="1072"/>
      <c r="F63" s="1127"/>
      <c r="G63" s="1073"/>
      <c r="H63" s="1128"/>
      <c r="I63" s="685"/>
      <c r="J63" s="1152"/>
      <c r="K63" s="1153" t="s">
        <v>449</v>
      </c>
      <c r="L63" s="720">
        <f>L58+L60+L61+L62</f>
        <v>156683.27834999998</v>
      </c>
      <c r="M63" s="1105" t="s">
        <v>445</v>
      </c>
      <c r="N63" s="336"/>
      <c r="O63" s="336"/>
      <c r="P63" s="336"/>
      <c r="Q63" s="336"/>
      <c r="R63" s="336"/>
      <c r="S63" s="336"/>
      <c r="T63" s="336"/>
      <c r="U63" s="336"/>
    </row>
    <row r="64" spans="1:21" ht="18.600000000000001" thickBot="1">
      <c r="A64" s="1124"/>
      <c r="B64" s="1129"/>
      <c r="C64" s="1126"/>
      <c r="D64" s="1072"/>
      <c r="E64" s="1130"/>
      <c r="F64" s="1127"/>
      <c r="G64" s="1072"/>
      <c r="H64" s="1131"/>
      <c r="I64" s="1059"/>
      <c r="J64" s="1103"/>
      <c r="K64" s="1153"/>
      <c r="L64" s="1154" t="str">
        <f>BAHTTEXT(L63)</f>
        <v>หนึ่งแสนห้าหมื่นหกพันหกร้อยแปดสิบสามบาทยี่สิบแปดสตางค์</v>
      </c>
      <c r="M64" s="1105"/>
    </row>
    <row r="65" spans="1:21" s="996" customFormat="1" ht="21" customHeight="1">
      <c r="A65" s="623"/>
      <c r="B65" s="1132" t="s">
        <v>204</v>
      </c>
      <c r="C65" s="674"/>
      <c r="D65" s="674"/>
      <c r="E65" s="674"/>
      <c r="F65" s="1133"/>
      <c r="G65" s="705"/>
      <c r="H65" s="1134"/>
      <c r="I65" s="715"/>
      <c r="J65" s="1155"/>
      <c r="K65" s="1156"/>
      <c r="L65" s="985"/>
      <c r="M65" s="1157"/>
      <c r="N65" s="1120"/>
    </row>
    <row r="66" spans="1:21" s="996" customFormat="1" ht="21" customHeight="1">
      <c r="A66" s="1084">
        <v>9</v>
      </c>
      <c r="B66" s="1085" t="s">
        <v>450</v>
      </c>
      <c r="C66" s="1135"/>
      <c r="D66" s="692"/>
      <c r="E66" s="692"/>
      <c r="F66" s="704"/>
      <c r="G66" s="1136"/>
      <c r="H66" s="1137"/>
      <c r="I66" s="650"/>
      <c r="J66" s="324"/>
      <c r="K66" s="88"/>
      <c r="L66" s="1158"/>
      <c r="M66" s="1159"/>
      <c r="N66" s="1120"/>
    </row>
    <row r="67" spans="1:21" s="996" customFormat="1" ht="21" customHeight="1">
      <c r="A67" s="1087"/>
      <c r="B67" s="1088" t="s">
        <v>555</v>
      </c>
      <c r="C67" s="1135"/>
      <c r="D67" s="692"/>
      <c r="E67" s="692"/>
      <c r="F67" s="1090">
        <v>4</v>
      </c>
      <c r="G67" s="1091" t="s">
        <v>83</v>
      </c>
      <c r="H67" s="650">
        <f>'วัสดุมวลรวมก่ออิฐฉาบปูน (2)'!G27</f>
        <v>60.355222500000004</v>
      </c>
      <c r="I67" s="650">
        <f t="shared" ref="I67:I70" si="8">F67*H67</f>
        <v>241.42089000000001</v>
      </c>
      <c r="J67" s="650">
        <v>115</v>
      </c>
      <c r="K67" s="650">
        <f t="shared" ref="K67:K70" si="9">F67*J67</f>
        <v>460</v>
      </c>
      <c r="L67" s="1160">
        <f t="shared" ref="L67:L70" si="10">I67+K67</f>
        <v>701.42088999999999</v>
      </c>
      <c r="M67" s="1159"/>
      <c r="N67" s="1120"/>
    </row>
    <row r="68" spans="1:21" s="996" customFormat="1" ht="21" customHeight="1">
      <c r="A68" s="1084">
        <v>10</v>
      </c>
      <c r="B68" s="1085" t="s">
        <v>451</v>
      </c>
      <c r="C68" s="1135"/>
      <c r="D68" s="692"/>
      <c r="E68" s="692"/>
      <c r="F68" s="704"/>
      <c r="G68" s="1136"/>
      <c r="H68" s="1137"/>
      <c r="I68" s="650"/>
      <c r="J68" s="324"/>
      <c r="K68" s="88"/>
      <c r="L68" s="1158"/>
      <c r="M68" s="1159"/>
      <c r="N68" s="1120"/>
    </row>
    <row r="69" spans="1:21" customFormat="1" ht="21" customHeight="1">
      <c r="A69" s="1087"/>
      <c r="B69" s="1088" t="s">
        <v>556</v>
      </c>
      <c r="C69" s="1135"/>
      <c r="D69" s="692"/>
      <c r="E69" s="692"/>
      <c r="F69" s="1090">
        <v>4</v>
      </c>
      <c r="G69" s="1091" t="s">
        <v>83</v>
      </c>
      <c r="H69" s="650">
        <f>'วัสดุมวลรวมทาสีอาคาร  (2)'!G13</f>
        <v>77.625799999999998</v>
      </c>
      <c r="I69" s="650">
        <f t="shared" si="8"/>
        <v>310.50319999999999</v>
      </c>
      <c r="J69" s="650">
        <v>87</v>
      </c>
      <c r="K69" s="650">
        <f t="shared" si="9"/>
        <v>348</v>
      </c>
      <c r="L69" s="1160">
        <f t="shared" si="10"/>
        <v>658.50319999999999</v>
      </c>
      <c r="M69" s="1159"/>
    </row>
    <row r="70" spans="1:21" customFormat="1" ht="21" customHeight="1" thickBot="1">
      <c r="A70" s="1087"/>
      <c r="B70" s="1088" t="s">
        <v>557</v>
      </c>
      <c r="C70" s="1135"/>
      <c r="D70" s="692"/>
      <c r="E70" s="692"/>
      <c r="F70" s="1090">
        <v>75</v>
      </c>
      <c r="G70" s="1091" t="s">
        <v>83</v>
      </c>
      <c r="H70" s="650">
        <f>'วัสดุมวลรวมทาสีอาคาร  (2)'!G25</f>
        <v>52.52046</v>
      </c>
      <c r="I70" s="650">
        <f t="shared" si="8"/>
        <v>3939.0345000000002</v>
      </c>
      <c r="J70" s="650">
        <v>87</v>
      </c>
      <c r="K70" s="650">
        <f t="shared" si="9"/>
        <v>6525</v>
      </c>
      <c r="L70" s="1160">
        <f t="shared" si="10"/>
        <v>10464.0345</v>
      </c>
      <c r="M70" s="1159"/>
    </row>
    <row r="71" spans="1:21" s="997" customFormat="1" ht="21" customHeight="1" thickBot="1">
      <c r="A71" s="1124"/>
      <c r="B71" s="1125"/>
      <c r="C71" s="1126"/>
      <c r="D71" s="1072"/>
      <c r="E71" s="1072"/>
      <c r="F71" s="1127"/>
      <c r="G71" s="1073"/>
      <c r="H71" s="1128"/>
      <c r="I71" s="685"/>
      <c r="J71" s="1152"/>
      <c r="K71" s="1153" t="s">
        <v>452</v>
      </c>
      <c r="L71" s="720">
        <f>SUM(L66:L70)</f>
        <v>11823.95859</v>
      </c>
      <c r="M71" s="1105" t="s">
        <v>445</v>
      </c>
      <c r="N71" s="336"/>
      <c r="O71" s="336"/>
      <c r="P71" s="336"/>
      <c r="Q71" s="336"/>
      <c r="R71" s="336"/>
      <c r="S71" s="336"/>
      <c r="T71" s="336"/>
      <c r="U71" s="336"/>
    </row>
    <row r="72" spans="1:21" s="997" customFormat="1" ht="21" customHeight="1" thickBot="1">
      <c r="A72" s="1124"/>
      <c r="B72" s="1129"/>
      <c r="C72" s="1126"/>
      <c r="D72" s="1072"/>
      <c r="E72" s="1130"/>
      <c r="F72" s="1127"/>
      <c r="G72" s="1072"/>
      <c r="H72" s="1131"/>
      <c r="I72" s="1059"/>
      <c r="J72" s="1103"/>
      <c r="K72" s="1153"/>
      <c r="L72" s="1154" t="str">
        <f>BAHTTEXT(L71)</f>
        <v>หนึ่งหมื่นหนึ่งพันแปดร้อยยี่สิบสามบาทเก้าสิบหกสตางค์</v>
      </c>
      <c r="M72" s="1105"/>
      <c r="N72" s="1106"/>
    </row>
    <row r="73" spans="1:21" s="997" customFormat="1" ht="21" customHeight="1" thickBot="1">
      <c r="N73" s="1106"/>
    </row>
    <row r="74" spans="1:21" s="997" customFormat="1" ht="21" customHeight="1" thickBot="1">
      <c r="A74" s="1796"/>
      <c r="B74" s="1797"/>
      <c r="C74" s="1126"/>
      <c r="D74" s="1072"/>
      <c r="E74" s="1072"/>
      <c r="F74" s="1072"/>
      <c r="G74" s="1798"/>
      <c r="H74" s="1799"/>
      <c r="I74" s="1799"/>
      <c r="J74" s="1800"/>
      <c r="K74" s="1059"/>
      <c r="L74" s="1801"/>
      <c r="M74" s="1802" t="s">
        <v>1090</v>
      </c>
      <c r="N74" s="1106"/>
    </row>
    <row r="75" spans="1:21" s="997" customFormat="1" ht="21" customHeight="1">
      <c r="A75" s="1794">
        <v>11</v>
      </c>
      <c r="B75" s="1139" t="s">
        <v>217</v>
      </c>
      <c r="C75" s="625"/>
      <c r="D75" s="625"/>
      <c r="E75" s="659"/>
      <c r="F75" s="677"/>
      <c r="G75" s="1795"/>
      <c r="H75" s="986"/>
      <c r="I75" s="715"/>
      <c r="J75" s="986"/>
      <c r="K75" s="715"/>
      <c r="L75" s="985"/>
      <c r="M75" s="1161"/>
      <c r="N75" s="1106"/>
    </row>
    <row r="76" spans="1:21" s="997" customFormat="1" ht="21" customHeight="1">
      <c r="A76" s="1138"/>
      <c r="B76" s="1141" t="s">
        <v>558</v>
      </c>
      <c r="C76" s="625"/>
      <c r="D76" s="625"/>
      <c r="E76" s="659"/>
      <c r="F76" s="327"/>
      <c r="G76" s="1140"/>
      <c r="H76" s="604"/>
      <c r="I76" s="650"/>
      <c r="J76" s="604"/>
      <c r="K76" s="650"/>
      <c r="L76" s="650"/>
      <c r="M76" s="1163"/>
      <c r="N76" s="1106"/>
    </row>
    <row r="77" spans="1:21" customFormat="1" ht="21" customHeight="1">
      <c r="A77" s="327"/>
      <c r="B77" s="1142" t="s">
        <v>559</v>
      </c>
      <c r="C77" s="692"/>
      <c r="D77" s="692"/>
      <c r="E77" s="603"/>
      <c r="F77" s="327">
        <v>40</v>
      </c>
      <c r="G77" s="1143" t="s">
        <v>65</v>
      </c>
      <c r="H77" s="650">
        <v>171.03</v>
      </c>
      <c r="I77" s="650">
        <f t="shared" ref="I77:I79" si="11">F77*H77</f>
        <v>6841.2</v>
      </c>
      <c r="J77" s="650">
        <f>N81</f>
        <v>50</v>
      </c>
      <c r="K77" s="650">
        <f t="shared" ref="K77:K78" si="12">F77*J77</f>
        <v>2000</v>
      </c>
      <c r="L77" s="650">
        <f t="shared" ref="L77:L79" si="13">I77+K77</f>
        <v>8841.2000000000007</v>
      </c>
      <c r="M77" s="1164"/>
    </row>
    <row r="78" spans="1:21" customFormat="1" ht="21" customHeight="1">
      <c r="A78" s="327"/>
      <c r="B78" s="1142" t="s">
        <v>560</v>
      </c>
      <c r="C78" s="692"/>
      <c r="D78" s="692"/>
      <c r="E78" s="603"/>
      <c r="F78" s="327">
        <v>12</v>
      </c>
      <c r="G78" s="1143" t="s">
        <v>195</v>
      </c>
      <c r="H78" s="650">
        <v>37.85</v>
      </c>
      <c r="I78" s="650">
        <f t="shared" si="11"/>
        <v>454.20000000000005</v>
      </c>
      <c r="J78" s="604">
        <v>0</v>
      </c>
      <c r="K78" s="604">
        <f t="shared" si="12"/>
        <v>0</v>
      </c>
      <c r="L78" s="650">
        <f t="shared" si="13"/>
        <v>454.20000000000005</v>
      </c>
      <c r="M78" s="1164"/>
    </row>
    <row r="79" spans="1:21" s="1001" customFormat="1" ht="20.25" customHeight="1">
      <c r="A79" s="327"/>
      <c r="B79" s="1142" t="s">
        <v>561</v>
      </c>
      <c r="C79" s="692"/>
      <c r="D79" s="692"/>
      <c r="E79" s="603"/>
      <c r="F79" s="327">
        <v>4</v>
      </c>
      <c r="G79" s="1143" t="s">
        <v>195</v>
      </c>
      <c r="H79" s="650">
        <v>35</v>
      </c>
      <c r="I79" s="650">
        <f t="shared" si="11"/>
        <v>140</v>
      </c>
      <c r="J79" s="604">
        <v>0</v>
      </c>
      <c r="K79" s="604">
        <f>F79*J79</f>
        <v>0</v>
      </c>
      <c r="L79" s="650">
        <f t="shared" si="13"/>
        <v>140</v>
      </c>
      <c r="M79" s="1164"/>
      <c r="N79" s="1162"/>
    </row>
    <row r="80" spans="1:21" s="1001" customFormat="1" ht="20.25" customHeight="1">
      <c r="A80" s="327"/>
      <c r="B80" s="1763" t="s">
        <v>1083</v>
      </c>
      <c r="C80" s="1758"/>
      <c r="D80" s="1758"/>
      <c r="E80" s="1759"/>
      <c r="F80" s="1762">
        <v>4</v>
      </c>
      <c r="G80" s="1762" t="s">
        <v>195</v>
      </c>
      <c r="H80" s="1761">
        <v>24.77</v>
      </c>
      <c r="I80" s="1761">
        <f>H80*F80</f>
        <v>99.08</v>
      </c>
      <c r="J80" s="1764">
        <v>0</v>
      </c>
      <c r="K80" s="1765">
        <f>J80*F80</f>
        <v>0</v>
      </c>
      <c r="L80" s="1761">
        <f>I80</f>
        <v>99.08</v>
      </c>
      <c r="M80" s="1760"/>
      <c r="N80" s="1162"/>
    </row>
    <row r="81" spans="1:21" s="1001" customFormat="1" ht="24.6">
      <c r="A81" s="327"/>
      <c r="B81" s="1142" t="s">
        <v>1082</v>
      </c>
      <c r="C81" s="692"/>
      <c r="D81" s="692"/>
      <c r="E81" s="603"/>
      <c r="F81" s="327">
        <v>2</v>
      </c>
      <c r="G81" s="1143" t="s">
        <v>195</v>
      </c>
      <c r="H81" s="650">
        <v>55.61</v>
      </c>
      <c r="I81" s="650">
        <f>F81*H81</f>
        <v>111.22</v>
      </c>
      <c r="J81" s="604">
        <v>0</v>
      </c>
      <c r="K81" s="604">
        <f>F81*J81</f>
        <v>0</v>
      </c>
      <c r="L81" s="650">
        <f>I81+K81</f>
        <v>111.22</v>
      </c>
      <c r="M81" s="1164"/>
      <c r="N81" s="1165">
        <v>50</v>
      </c>
      <c r="O81" s="1166">
        <f>H77*0.3</f>
        <v>51.308999999999997</v>
      </c>
    </row>
    <row r="82" spans="1:21" s="1001" customFormat="1" ht="20.399999999999999">
      <c r="A82" s="327"/>
      <c r="B82" s="1142" t="s">
        <v>562</v>
      </c>
      <c r="C82" s="692"/>
      <c r="D82" s="692"/>
      <c r="E82" s="603"/>
      <c r="F82" s="327">
        <v>15</v>
      </c>
      <c r="G82" s="1143" t="s">
        <v>195</v>
      </c>
      <c r="H82" s="650">
        <v>32</v>
      </c>
      <c r="I82" s="650">
        <f>F82*H82</f>
        <v>480</v>
      </c>
      <c r="J82" s="604">
        <v>0</v>
      </c>
      <c r="K82" s="604">
        <f>F82*J82</f>
        <v>0</v>
      </c>
      <c r="L82" s="650">
        <f>I82+K82</f>
        <v>480</v>
      </c>
      <c r="M82" s="1164"/>
      <c r="N82" s="1167"/>
    </row>
    <row r="83" spans="1:21" s="1001" customFormat="1" ht="20.399999999999999">
      <c r="A83" s="727"/>
      <c r="B83" s="1142" t="s">
        <v>563</v>
      </c>
      <c r="C83" s="692"/>
      <c r="D83" s="692"/>
      <c r="E83" s="603"/>
      <c r="F83" s="327">
        <v>1</v>
      </c>
      <c r="G83" s="1143" t="s">
        <v>195</v>
      </c>
      <c r="H83" s="650">
        <v>759</v>
      </c>
      <c r="I83" s="650">
        <f>F83*H83</f>
        <v>759</v>
      </c>
      <c r="J83" s="650">
        <f>N86</f>
        <v>360</v>
      </c>
      <c r="K83" s="650">
        <f>F83*J83</f>
        <v>360</v>
      </c>
      <c r="L83" s="650">
        <f>I83+K83</f>
        <v>1119</v>
      </c>
      <c r="M83" s="1170"/>
      <c r="N83" s="1167"/>
    </row>
    <row r="84" spans="1:21" s="1001" customFormat="1" ht="21" thickBot="1">
      <c r="A84" s="1739"/>
      <c r="B84" s="1754" t="s">
        <v>564</v>
      </c>
      <c r="C84" s="1755"/>
      <c r="D84" s="1755"/>
      <c r="E84" s="612"/>
      <c r="F84" s="727">
        <v>2</v>
      </c>
      <c r="G84" s="1756" t="s">
        <v>226</v>
      </c>
      <c r="H84" s="702">
        <v>550</v>
      </c>
      <c r="I84" s="702">
        <f>F84*H84</f>
        <v>1100</v>
      </c>
      <c r="J84" s="702">
        <v>0</v>
      </c>
      <c r="K84" s="702">
        <f>F84*J84</f>
        <v>0</v>
      </c>
      <c r="L84" s="650">
        <f>I84+K84</f>
        <v>1100</v>
      </c>
      <c r="M84" s="1739"/>
      <c r="N84" s="1167"/>
    </row>
    <row r="85" spans="1:21" s="1001" customFormat="1" ht="21" thickBot="1">
      <c r="A85" s="1753"/>
      <c r="B85" s="1770"/>
      <c r="C85" s="1771"/>
      <c r="D85" s="1772"/>
      <c r="E85" s="1772"/>
      <c r="F85" s="1773"/>
      <c r="G85" s="1598"/>
      <c r="H85" s="1774"/>
      <c r="I85" s="1775"/>
      <c r="J85" s="1776"/>
      <c r="K85" s="1777" t="s">
        <v>453</v>
      </c>
      <c r="L85" s="720">
        <f>L77+L78+L79+L80+L81+L82+L83+L84</f>
        <v>12344.7</v>
      </c>
      <c r="M85" s="1757" t="s">
        <v>445</v>
      </c>
      <c r="N85" s="1167"/>
    </row>
    <row r="86" spans="1:21" s="1001" customFormat="1" ht="21.6" thickBot="1">
      <c r="A86" s="1124"/>
      <c r="B86" s="1129"/>
      <c r="C86" s="1126"/>
      <c r="D86" s="1072"/>
      <c r="E86" s="1130"/>
      <c r="F86" s="1127"/>
      <c r="G86" s="1072"/>
      <c r="H86" s="1131"/>
      <c r="I86" s="1059"/>
      <c r="J86" s="1103"/>
      <c r="K86" s="1153"/>
      <c r="L86" s="1154" t="str">
        <f>BAHTTEXT(L85)</f>
        <v>หนึ่งหมื่นสองพันสามร้อยสี่สิบสี่บาทเจ็ดสิบสตางค์</v>
      </c>
      <c r="M86" s="1105"/>
      <c r="N86" s="1168">
        <v>360</v>
      </c>
      <c r="O86" s="1169">
        <f>H83*0.3</f>
        <v>227.7</v>
      </c>
    </row>
    <row r="87" spans="1:21" s="1001" customFormat="1" ht="20.399999999999999">
      <c r="A87" s="1588" t="s">
        <v>310</v>
      </c>
      <c r="B87" s="1592" t="s">
        <v>96</v>
      </c>
      <c r="C87" s="1596"/>
      <c r="D87" s="1596"/>
      <c r="E87" s="1596"/>
      <c r="F87" s="1590" t="s">
        <v>179</v>
      </c>
      <c r="G87" s="1592" t="s">
        <v>11</v>
      </c>
      <c r="H87" s="1586" t="s">
        <v>107</v>
      </c>
      <c r="I87" s="1587"/>
      <c r="J87" s="1586" t="s">
        <v>394</v>
      </c>
      <c r="K87" s="1587"/>
      <c r="L87" s="711" t="s">
        <v>109</v>
      </c>
      <c r="M87" s="1594" t="s">
        <v>100</v>
      </c>
      <c r="N87" s="1167"/>
    </row>
    <row r="88" spans="1:21" customFormat="1" ht="21" customHeight="1" thickBot="1">
      <c r="A88" s="1589"/>
      <c r="B88" s="1593"/>
      <c r="C88" s="1597"/>
      <c r="D88" s="1597"/>
      <c r="E88" s="1597"/>
      <c r="F88" s="1591"/>
      <c r="G88" s="1593"/>
      <c r="H88" s="316" t="s">
        <v>180</v>
      </c>
      <c r="I88" s="316" t="s">
        <v>428</v>
      </c>
      <c r="J88" s="316" t="s">
        <v>180</v>
      </c>
      <c r="K88" s="316" t="s">
        <v>319</v>
      </c>
      <c r="L88" s="316" t="s">
        <v>429</v>
      </c>
      <c r="M88" s="1595"/>
    </row>
    <row r="89" spans="1:21" customFormat="1" ht="21" customHeight="1">
      <c r="A89" s="1138">
        <v>12</v>
      </c>
      <c r="B89" s="1144" t="s">
        <v>206</v>
      </c>
      <c r="C89" s="692"/>
      <c r="D89" s="692"/>
      <c r="E89" s="603"/>
      <c r="F89" s="1145"/>
      <c r="G89" s="1143"/>
      <c r="H89" s="650"/>
      <c r="I89" s="650"/>
      <c r="J89" s="650"/>
      <c r="K89" s="650"/>
      <c r="L89" s="650"/>
      <c r="M89" s="1161"/>
    </row>
    <row r="90" spans="1:21" s="1001" customFormat="1" ht="20.399999999999999">
      <c r="A90" s="327"/>
      <c r="B90" s="692" t="s">
        <v>565</v>
      </c>
      <c r="C90" s="692"/>
      <c r="D90" s="692"/>
      <c r="E90" s="603"/>
      <c r="F90" s="1145">
        <v>1</v>
      </c>
      <c r="G90" s="1143" t="s">
        <v>208</v>
      </c>
      <c r="H90" s="650">
        <v>0</v>
      </c>
      <c r="I90" s="650">
        <f t="shared" ref="I90:I94" si="14">F90*H90</f>
        <v>0</v>
      </c>
      <c r="J90" s="650">
        <v>3000</v>
      </c>
      <c r="K90" s="650">
        <f t="shared" ref="K90:K93" si="15">F90*J90</f>
        <v>3000</v>
      </c>
      <c r="L90" s="650">
        <f t="shared" ref="L90:L93" si="16">I90+K90</f>
        <v>3000</v>
      </c>
      <c r="M90" s="1164"/>
      <c r="N90" s="1171"/>
    </row>
    <row r="91" spans="1:21" s="999" customFormat="1">
      <c r="A91" s="327"/>
      <c r="B91" s="692" t="s">
        <v>566</v>
      </c>
      <c r="C91" s="692"/>
      <c r="D91" s="692"/>
      <c r="E91" s="603"/>
      <c r="F91" s="1145">
        <v>1</v>
      </c>
      <c r="G91" s="1143" t="s">
        <v>210</v>
      </c>
      <c r="H91" s="650">
        <v>7689</v>
      </c>
      <c r="I91" s="650">
        <f t="shared" si="14"/>
        <v>7689</v>
      </c>
      <c r="J91" s="650">
        <v>0</v>
      </c>
      <c r="K91" s="650">
        <f t="shared" si="15"/>
        <v>0</v>
      </c>
      <c r="L91" s="650">
        <f t="shared" si="16"/>
        <v>7689</v>
      </c>
      <c r="M91" s="1164"/>
      <c r="N91" s="1110"/>
      <c r="O91" s="1003"/>
      <c r="P91" s="114"/>
    </row>
    <row r="92" spans="1:21" s="996" customFormat="1" ht="20.399999999999999">
      <c r="A92" s="327"/>
      <c r="B92" s="1766" t="s">
        <v>1084</v>
      </c>
      <c r="C92" s="692"/>
      <c r="D92" s="692"/>
      <c r="E92" s="603"/>
      <c r="F92" s="1145">
        <v>1</v>
      </c>
      <c r="G92" s="1143" t="s">
        <v>212</v>
      </c>
      <c r="H92" s="650">
        <v>300</v>
      </c>
      <c r="I92" s="650">
        <f t="shared" si="14"/>
        <v>300</v>
      </c>
      <c r="J92" s="650">
        <v>0</v>
      </c>
      <c r="K92" s="650">
        <f t="shared" si="15"/>
        <v>0</v>
      </c>
      <c r="L92" s="650">
        <f t="shared" si="16"/>
        <v>300</v>
      </c>
      <c r="M92" s="1164"/>
      <c r="N92" s="336"/>
      <c r="O92" s="336"/>
      <c r="P92" s="336"/>
      <c r="Q92" s="336"/>
      <c r="R92" s="336"/>
      <c r="S92" s="336"/>
      <c r="T92" s="336"/>
      <c r="U92" s="336"/>
    </row>
    <row r="93" spans="1:21" s="996" customFormat="1" ht="20.399999999999999">
      <c r="A93" s="327"/>
      <c r="B93" s="1786" t="s">
        <v>567</v>
      </c>
      <c r="C93" s="692"/>
      <c r="D93" s="692"/>
      <c r="E93" s="603"/>
      <c r="F93" s="1145">
        <v>2</v>
      </c>
      <c r="G93" s="1143" t="s">
        <v>65</v>
      </c>
      <c r="H93" s="650">
        <v>120</v>
      </c>
      <c r="I93" s="650">
        <f t="shared" si="14"/>
        <v>240</v>
      </c>
      <c r="J93" s="1160">
        <v>0</v>
      </c>
      <c r="K93" s="650">
        <f t="shared" si="15"/>
        <v>0</v>
      </c>
      <c r="L93" s="650">
        <f t="shared" si="16"/>
        <v>240</v>
      </c>
      <c r="M93" s="1170"/>
      <c r="N93" s="336"/>
      <c r="O93" s="336"/>
      <c r="P93" s="336"/>
      <c r="Q93" s="336"/>
      <c r="R93" s="336"/>
      <c r="S93" s="336"/>
      <c r="T93" s="336"/>
      <c r="U93" s="336"/>
    </row>
    <row r="94" spans="1:21" s="1001" customFormat="1" ht="21" customHeight="1" thickBot="1">
      <c r="A94" s="665"/>
      <c r="B94" s="1787" t="s">
        <v>1089</v>
      </c>
      <c r="C94" s="638"/>
      <c r="D94" s="638"/>
      <c r="E94" s="1278"/>
      <c r="F94" s="1788">
        <v>1</v>
      </c>
      <c r="G94" s="1789" t="s">
        <v>254</v>
      </c>
      <c r="H94" s="1279">
        <v>1285</v>
      </c>
      <c r="I94" s="1279">
        <f t="shared" si="14"/>
        <v>1285</v>
      </c>
      <c r="J94" s="1160">
        <v>0</v>
      </c>
      <c r="K94" s="1160">
        <v>0</v>
      </c>
      <c r="L94" s="1790">
        <f>H94</f>
        <v>1285</v>
      </c>
      <c r="M94" s="1278"/>
      <c r="N94" s="1162"/>
    </row>
    <row r="95" spans="1:21" s="1001" customFormat="1" ht="21" customHeight="1" thickBot="1">
      <c r="A95" s="1124"/>
      <c r="B95" s="1125"/>
      <c r="C95" s="1126"/>
      <c r="D95" s="1072"/>
      <c r="E95" s="1072"/>
      <c r="F95" s="1127"/>
      <c r="G95" s="1073"/>
      <c r="H95" s="1128"/>
      <c r="I95" s="685"/>
      <c r="J95" s="1152"/>
      <c r="K95" s="1153" t="s">
        <v>454</v>
      </c>
      <c r="L95" s="720">
        <f>SUM(L89:L94)</f>
        <v>12514</v>
      </c>
      <c r="M95" s="1105" t="s">
        <v>445</v>
      </c>
      <c r="N95" s="1167"/>
    </row>
    <row r="96" spans="1:21" s="1001" customFormat="1" ht="21" customHeight="1" thickBot="1">
      <c r="A96" s="1124"/>
      <c r="B96" s="1129"/>
      <c r="C96" s="1126"/>
      <c r="D96" s="1072"/>
      <c r="E96" s="1130"/>
      <c r="F96" s="1127"/>
      <c r="G96" s="1072"/>
      <c r="H96" s="1131"/>
      <c r="I96" s="1059"/>
      <c r="J96" s="1103"/>
      <c r="K96" s="1153"/>
      <c r="L96" s="1154" t="str">
        <f>BAHTTEXT(L95)</f>
        <v>หนึ่งหมื่นสองพันห้าร้อยสิบสี่บาทถ้วน</v>
      </c>
      <c r="M96" s="1105"/>
      <c r="N96" s="1167"/>
    </row>
    <row r="97" spans="1:14" s="1001" customFormat="1" ht="21" customHeight="1">
      <c r="N97" s="1167"/>
    </row>
    <row r="98" spans="1:14" s="1001" customFormat="1" ht="21" customHeight="1">
      <c r="N98" s="1167"/>
    </row>
    <row r="99" spans="1:14" customFormat="1" ht="21" customHeight="1">
      <c r="A99" s="336"/>
      <c r="B99" s="336"/>
      <c r="C99" s="336"/>
      <c r="D99" s="336"/>
      <c r="E99" s="336"/>
      <c r="F99" s="1003"/>
      <c r="G99" s="114"/>
      <c r="H99" s="336"/>
      <c r="I99" s="336"/>
      <c r="J99" s="336"/>
      <c r="K99" s="336"/>
      <c r="L99" s="336"/>
      <c r="M99" s="336"/>
    </row>
    <row r="100" spans="1:14" customFormat="1" ht="21" customHeight="1">
      <c r="A100" s="336"/>
      <c r="B100" s="336"/>
      <c r="C100" s="336"/>
      <c r="D100" s="336"/>
      <c r="E100" s="336"/>
      <c r="F100" s="1003"/>
      <c r="G100" s="114"/>
      <c r="H100" s="336"/>
      <c r="I100" s="336"/>
      <c r="J100" s="336"/>
      <c r="K100" s="336"/>
      <c r="L100" s="336"/>
      <c r="M100" s="336"/>
    </row>
    <row r="101" spans="1:14" customFormat="1" ht="21" customHeight="1">
      <c r="A101" s="336"/>
      <c r="B101" s="336"/>
      <c r="C101" s="336"/>
      <c r="D101" s="336"/>
      <c r="E101" s="336"/>
      <c r="F101" s="1003"/>
      <c r="G101" s="114"/>
      <c r="H101" s="336"/>
      <c r="I101" s="336"/>
      <c r="J101" s="336"/>
      <c r="K101" s="336"/>
      <c r="L101" s="336"/>
      <c r="M101" s="336"/>
    </row>
    <row r="102" spans="1:14" customFormat="1" ht="21" customHeight="1">
      <c r="A102" s="336"/>
      <c r="B102" s="336"/>
      <c r="C102" s="336"/>
      <c r="D102" s="336"/>
      <c r="E102" s="336"/>
      <c r="F102" s="1003"/>
      <c r="G102" s="114"/>
      <c r="H102" s="336"/>
      <c r="I102" s="336"/>
      <c r="J102" s="336"/>
      <c r="K102" s="336"/>
      <c r="L102" s="336"/>
      <c r="M102" s="336"/>
    </row>
    <row r="103" spans="1:14" customFormat="1" ht="21" customHeight="1">
      <c r="A103" s="336"/>
      <c r="B103" s="336"/>
      <c r="C103" s="336"/>
      <c r="D103" s="336"/>
      <c r="E103" s="336"/>
      <c r="F103" s="1003"/>
      <c r="G103" s="114"/>
      <c r="H103" s="336"/>
      <c r="I103" s="336"/>
      <c r="J103" s="336"/>
      <c r="K103" s="336"/>
      <c r="L103" s="336"/>
      <c r="M103" s="336"/>
    </row>
    <row r="104" spans="1:14" customFormat="1" ht="21" customHeight="1">
      <c r="A104" s="1066"/>
      <c r="B104" s="1146"/>
      <c r="C104" s="1068"/>
      <c r="D104" s="114"/>
      <c r="E104" s="114"/>
      <c r="F104" s="1005"/>
      <c r="G104" s="114"/>
      <c r="H104" s="1147"/>
      <c r="I104" s="688"/>
      <c r="J104" s="1107"/>
      <c r="K104" s="1172"/>
      <c r="L104" s="591"/>
      <c r="M104" s="992"/>
    </row>
    <row r="105" spans="1:14" customFormat="1" ht="21" customHeight="1">
      <c r="A105" s="1066"/>
      <c r="B105" s="1146"/>
      <c r="C105" s="1068"/>
      <c r="D105" s="114"/>
      <c r="E105" s="114"/>
      <c r="F105" s="1005"/>
      <c r="G105" s="114"/>
      <c r="H105" s="1147"/>
      <c r="I105" s="688"/>
      <c r="J105" s="1107"/>
      <c r="K105" s="1172"/>
      <c r="L105" s="591"/>
      <c r="M105" s="992"/>
    </row>
    <row r="106" spans="1:14" customFormat="1" ht="21" customHeight="1">
      <c r="A106" s="1066"/>
      <c r="B106" s="1146"/>
      <c r="C106" s="1068"/>
      <c r="D106" s="114"/>
      <c r="E106" s="114"/>
      <c r="F106" s="1005"/>
      <c r="G106" s="114"/>
      <c r="H106" s="1147"/>
      <c r="I106" s="688"/>
      <c r="J106" s="1107"/>
      <c r="K106" s="1172"/>
      <c r="L106" s="591"/>
      <c r="M106" s="992"/>
    </row>
    <row r="107" spans="1:14" customFormat="1" ht="21" customHeight="1">
      <c r="A107" s="1066"/>
      <c r="B107" s="1146"/>
      <c r="C107" s="1068"/>
      <c r="D107" s="114"/>
      <c r="E107" s="114"/>
      <c r="F107" s="1005"/>
      <c r="G107" s="114"/>
      <c r="H107" s="1147"/>
      <c r="I107" s="688"/>
      <c r="J107" s="1107"/>
      <c r="K107" s="1172"/>
      <c r="L107" s="591"/>
      <c r="M107" s="992"/>
    </row>
    <row r="108" spans="1:14" customFormat="1" ht="21" customHeight="1">
      <c r="A108" s="1066"/>
      <c r="B108" s="1146"/>
      <c r="C108" s="1068"/>
      <c r="D108" s="114"/>
      <c r="E108" s="114"/>
      <c r="F108" s="1005"/>
      <c r="G108" s="114"/>
      <c r="H108" s="1147"/>
      <c r="I108" s="688"/>
      <c r="J108" s="1107"/>
      <c r="K108" s="1172"/>
      <c r="L108" s="591"/>
      <c r="M108" s="992"/>
    </row>
    <row r="109" spans="1:14" customFormat="1" ht="21" customHeight="1">
      <c r="A109" s="1066"/>
      <c r="B109" s="1146"/>
      <c r="C109" s="1068"/>
      <c r="D109" s="114"/>
      <c r="E109" s="114"/>
      <c r="F109" s="1005"/>
      <c r="G109" s="114"/>
      <c r="H109" s="1147"/>
      <c r="I109" s="688"/>
      <c r="J109" s="1107"/>
      <c r="K109" s="1172"/>
      <c r="L109" s="591"/>
      <c r="M109" s="992"/>
    </row>
    <row r="110" spans="1:14" customFormat="1" ht="21" customHeight="1">
      <c r="A110" s="1066"/>
      <c r="B110" s="1146"/>
      <c r="C110" s="1068"/>
      <c r="D110" s="114"/>
      <c r="E110" s="114"/>
      <c r="F110" s="1005"/>
      <c r="G110" s="114"/>
      <c r="H110" s="1147"/>
      <c r="I110" s="688"/>
      <c r="J110" s="1107"/>
      <c r="K110" s="1172"/>
      <c r="L110" s="591"/>
      <c r="M110" s="992"/>
    </row>
    <row r="111" spans="1:14" customFormat="1" ht="21" customHeight="1">
      <c r="A111" s="1066"/>
      <c r="B111" s="1146"/>
      <c r="C111" s="1068"/>
      <c r="D111" s="114"/>
      <c r="E111" s="114"/>
      <c r="F111" s="1005"/>
      <c r="G111" s="114"/>
      <c r="H111" s="1147"/>
      <c r="I111" s="688"/>
      <c r="J111" s="1107"/>
      <c r="K111" s="1172"/>
      <c r="L111" s="591"/>
      <c r="M111" s="992"/>
    </row>
    <row r="112" spans="1:14" customFormat="1" ht="21" customHeight="1">
      <c r="A112" s="1066"/>
      <c r="B112" s="1146"/>
      <c r="C112" s="1068"/>
      <c r="D112" s="114"/>
      <c r="E112" s="114"/>
      <c r="F112" s="1005"/>
      <c r="G112" s="114"/>
      <c r="H112" s="1147"/>
      <c r="I112" s="688"/>
      <c r="J112" s="1107"/>
      <c r="K112" s="1172"/>
      <c r="L112" s="591"/>
      <c r="M112" s="992"/>
    </row>
    <row r="113" spans="1:13" customFormat="1" ht="21" customHeight="1">
      <c r="A113" s="1066"/>
      <c r="B113" s="1146"/>
      <c r="C113" s="1068"/>
      <c r="D113" s="114"/>
      <c r="E113" s="114"/>
      <c r="F113" s="1005"/>
      <c r="G113" s="114"/>
      <c r="H113" s="1147"/>
      <c r="I113" s="688"/>
      <c r="J113" s="1107"/>
      <c r="K113" s="1172"/>
      <c r="L113" s="591"/>
      <c r="M113" s="992"/>
    </row>
    <row r="114" spans="1:13" customFormat="1" ht="21" customHeight="1">
      <c r="A114" s="1066"/>
      <c r="B114" s="1146"/>
      <c r="C114" s="1068"/>
      <c r="D114" s="114"/>
      <c r="E114" s="114"/>
      <c r="F114" s="1005"/>
      <c r="G114" s="114"/>
      <c r="H114" s="1147"/>
      <c r="I114" s="688"/>
      <c r="J114" s="1107"/>
      <c r="K114" s="1172"/>
      <c r="L114" s="591"/>
      <c r="M114" s="992"/>
    </row>
    <row r="115" spans="1:13" customFormat="1" ht="21" customHeight="1">
      <c r="A115" s="1066"/>
      <c r="B115" s="1146"/>
      <c r="C115" s="1068"/>
      <c r="D115" s="114"/>
      <c r="E115" s="114"/>
      <c r="F115" s="1005"/>
      <c r="G115" s="114"/>
      <c r="H115" s="1147"/>
      <c r="I115" s="688"/>
      <c r="J115" s="1107"/>
      <c r="K115" s="1172"/>
      <c r="L115" s="591"/>
      <c r="M115" s="992"/>
    </row>
    <row r="116" spans="1:13" customFormat="1" ht="21" customHeight="1">
      <c r="A116" s="1066"/>
      <c r="B116" s="1146"/>
      <c r="C116" s="1068"/>
      <c r="D116" s="114"/>
      <c r="E116" s="114"/>
      <c r="F116" s="1005"/>
      <c r="G116" s="114"/>
      <c r="H116" s="1147"/>
      <c r="I116" s="688"/>
      <c r="J116" s="1107"/>
      <c r="K116" s="1172"/>
      <c r="L116" s="591"/>
      <c r="M116" s="992"/>
    </row>
    <row r="117" spans="1:13" customFormat="1" ht="21" customHeight="1">
      <c r="A117" s="1066"/>
      <c r="B117" s="1146"/>
      <c r="C117" s="1068"/>
      <c r="D117" s="114"/>
      <c r="E117" s="114"/>
      <c r="F117" s="1005"/>
      <c r="G117" s="114"/>
      <c r="H117" s="1147"/>
      <c r="I117" s="688"/>
      <c r="J117" s="1107"/>
      <c r="K117" s="1172"/>
      <c r="L117" s="591"/>
      <c r="M117" s="992"/>
    </row>
    <row r="118" spans="1:13" customFormat="1" ht="21" customHeight="1">
      <c r="A118" s="1066"/>
      <c r="B118" s="1146"/>
      <c r="C118" s="1068"/>
      <c r="D118" s="114"/>
      <c r="E118" s="114"/>
      <c r="F118" s="1005"/>
      <c r="G118" s="114"/>
      <c r="H118" s="1147"/>
      <c r="I118" s="688"/>
      <c r="J118" s="1107"/>
      <c r="K118" s="1172"/>
      <c r="L118" s="591"/>
      <c r="M118" s="992"/>
    </row>
    <row r="119" spans="1:13" customFormat="1" ht="21" customHeight="1">
      <c r="A119" s="1066"/>
      <c r="B119" s="1146"/>
      <c r="C119" s="1068"/>
      <c r="D119" s="114"/>
      <c r="E119" s="114"/>
      <c r="F119" s="1005"/>
      <c r="G119" s="114"/>
      <c r="H119" s="1147"/>
      <c r="I119" s="688"/>
      <c r="J119" s="1107"/>
      <c r="K119" s="1172"/>
      <c r="L119" s="591"/>
      <c r="M119" s="992"/>
    </row>
    <row r="120" spans="1:13" customFormat="1" ht="21" customHeight="1">
      <c r="A120" s="1066"/>
      <c r="B120" s="1146"/>
      <c r="C120" s="1068"/>
      <c r="D120" s="114"/>
      <c r="E120" s="114"/>
      <c r="F120" s="1005"/>
      <c r="G120" s="114"/>
      <c r="H120" s="1147"/>
      <c r="I120" s="688"/>
      <c r="J120" s="1107"/>
      <c r="K120" s="1172"/>
      <c r="L120" s="591"/>
      <c r="M120" s="992"/>
    </row>
    <row r="121" spans="1:13" customFormat="1" ht="21" customHeight="1">
      <c r="A121" s="1066"/>
      <c r="B121" s="1146"/>
      <c r="C121" s="1068"/>
      <c r="D121" s="114"/>
      <c r="E121" s="114"/>
      <c r="F121" s="1005"/>
      <c r="G121" s="114"/>
      <c r="H121" s="1147"/>
      <c r="I121" s="688"/>
      <c r="J121" s="1107"/>
      <c r="K121" s="1172"/>
      <c r="L121" s="591"/>
      <c r="M121" s="992"/>
    </row>
    <row r="122" spans="1:13" customFormat="1" ht="21" customHeight="1">
      <c r="A122" s="1066"/>
      <c r="B122" s="1146"/>
      <c r="C122" s="1068"/>
      <c r="D122" s="114"/>
      <c r="E122" s="114"/>
      <c r="F122" s="1005"/>
      <c r="G122" s="114"/>
      <c r="H122" s="1147"/>
      <c r="I122" s="688"/>
      <c r="J122" s="1107"/>
      <c r="K122" s="1172"/>
      <c r="L122" s="591"/>
      <c r="M122" s="992"/>
    </row>
    <row r="123" spans="1:13" customFormat="1" ht="21" customHeight="1">
      <c r="A123" s="1148"/>
      <c r="B123" s="1146"/>
      <c r="C123" s="1068"/>
      <c r="D123" s="114"/>
      <c r="E123" s="114"/>
      <c r="F123" s="1005"/>
      <c r="G123" s="114"/>
      <c r="H123" s="1147"/>
      <c r="I123" s="688"/>
      <c r="J123" s="1107"/>
      <c r="K123" s="1172"/>
      <c r="L123" s="591"/>
      <c r="M123" s="1173"/>
    </row>
    <row r="124" spans="1:13" customFormat="1" ht="21" customHeight="1">
      <c r="A124" s="1148"/>
      <c r="B124" s="1146"/>
      <c r="C124" s="1068"/>
      <c r="D124" s="114"/>
      <c r="E124" s="114"/>
      <c r="F124" s="1005"/>
      <c r="G124" s="114"/>
      <c r="H124" s="1147"/>
      <c r="I124" s="688"/>
      <c r="J124" s="1107"/>
      <c r="K124" s="1172"/>
      <c r="L124" s="591"/>
      <c r="M124" s="1173"/>
    </row>
    <row r="125" spans="1:13" customFormat="1" ht="21" customHeight="1">
      <c r="A125" s="1148"/>
      <c r="B125" s="1146"/>
      <c r="C125" s="1068"/>
      <c r="D125" s="114"/>
      <c r="E125" s="114"/>
      <c r="F125" s="1005"/>
      <c r="G125" s="114"/>
      <c r="H125" s="1147"/>
      <c r="I125" s="688"/>
      <c r="J125" s="1107"/>
      <c r="K125" s="1172"/>
      <c r="L125" s="591"/>
      <c r="M125" s="1173"/>
    </row>
    <row r="126" spans="1:13" customFormat="1" ht="21" customHeight="1">
      <c r="A126" s="1148"/>
      <c r="B126" s="1146"/>
      <c r="C126" s="1068"/>
      <c r="D126" s="114"/>
      <c r="E126" s="114"/>
      <c r="F126" s="1005"/>
      <c r="G126" s="114"/>
      <c r="H126" s="1147"/>
      <c r="I126" s="688"/>
      <c r="J126" s="1107"/>
      <c r="K126" s="1172"/>
      <c r="L126" s="591"/>
      <c r="M126" s="1173"/>
    </row>
    <row r="127" spans="1:13" customFormat="1" ht="21" customHeight="1">
      <c r="A127" s="1778"/>
      <c r="B127" s="1778"/>
      <c r="C127" s="1778"/>
      <c r="D127" s="1778"/>
      <c r="E127" s="1778"/>
      <c r="F127" s="1778"/>
      <c r="G127" s="1778"/>
      <c r="H127" s="1778"/>
      <c r="I127" s="1778"/>
      <c r="J127" s="1778"/>
      <c r="K127" s="1778"/>
      <c r="L127" s="1778"/>
      <c r="M127" s="1778"/>
    </row>
    <row r="128" spans="1:13" customFormat="1" ht="21" customHeight="1">
      <c r="A128" s="1778"/>
      <c r="B128" s="1778"/>
      <c r="C128" s="1778"/>
      <c r="D128" s="1778"/>
      <c r="E128" s="1778"/>
      <c r="F128" s="1778"/>
      <c r="G128" s="1778"/>
      <c r="H128" s="1778"/>
      <c r="I128" s="1778"/>
      <c r="J128" s="1778"/>
      <c r="K128" s="1778"/>
      <c r="L128" s="1778"/>
      <c r="M128" s="1778"/>
    </row>
    <row r="129" spans="1:16" s="997" customFormat="1" ht="21" customHeight="1">
      <c r="A129" s="1778"/>
      <c r="B129" s="1778"/>
      <c r="C129" s="1778"/>
      <c r="D129" s="1778"/>
      <c r="E129" s="1778"/>
      <c r="F129" s="1778"/>
      <c r="G129" s="1778"/>
      <c r="H129" s="1778"/>
      <c r="I129" s="1778"/>
      <c r="J129" s="1778"/>
      <c r="K129" s="1778"/>
      <c r="L129" s="1778"/>
      <c r="M129" s="1778"/>
      <c r="N129" s="1106"/>
    </row>
    <row r="130" spans="1:16" s="997" customFormat="1" ht="21" customHeight="1">
      <c r="A130" s="1778"/>
      <c r="B130" s="1778"/>
      <c r="C130" s="1778"/>
      <c r="D130" s="1778"/>
      <c r="E130" s="1778"/>
      <c r="F130" s="1778"/>
      <c r="G130" s="1778"/>
      <c r="H130" s="1778"/>
      <c r="I130" s="1778"/>
      <c r="J130" s="1778"/>
      <c r="K130" s="1778"/>
      <c r="L130" s="1778"/>
      <c r="M130" s="1778"/>
      <c r="N130" s="1106"/>
    </row>
    <row r="131" spans="1:16" s="997" customFormat="1" ht="21" customHeight="1">
      <c r="A131" s="1778"/>
      <c r="B131" s="1778"/>
      <c r="C131" s="1778"/>
      <c r="D131" s="1778"/>
      <c r="E131" s="1778"/>
      <c r="F131" s="1778"/>
      <c r="G131" s="1778"/>
      <c r="H131" s="1778"/>
      <c r="I131" s="1778"/>
      <c r="J131" s="1778"/>
      <c r="K131" s="1778"/>
      <c r="L131" s="1778"/>
      <c r="M131" s="1778"/>
      <c r="N131" s="1106"/>
    </row>
    <row r="132" spans="1:16" s="997" customFormat="1" ht="21" customHeight="1">
      <c r="A132" s="1778"/>
      <c r="B132" s="1778"/>
      <c r="C132" s="1778"/>
      <c r="D132" s="1778"/>
      <c r="E132" s="1778"/>
      <c r="F132" s="1778"/>
      <c r="G132" s="1778"/>
      <c r="H132" s="1778"/>
      <c r="I132" s="1778"/>
      <c r="J132" s="1778"/>
      <c r="K132" s="1778"/>
      <c r="L132" s="1778"/>
      <c r="M132" s="1778"/>
      <c r="N132" s="1106"/>
    </row>
    <row r="133" spans="1:16" s="997" customFormat="1" ht="21" customHeight="1">
      <c r="A133" s="1778"/>
      <c r="B133" s="1778"/>
      <c r="C133" s="1778"/>
      <c r="D133" s="1778"/>
      <c r="E133" s="1778"/>
      <c r="F133" s="1778"/>
      <c r="G133" s="1778"/>
      <c r="H133" s="1778"/>
      <c r="I133" s="1778"/>
      <c r="J133" s="1778"/>
      <c r="K133" s="1778"/>
      <c r="L133" s="1778"/>
      <c r="M133" s="1778"/>
      <c r="N133" s="1106"/>
    </row>
    <row r="134" spans="1:16" s="1001" customFormat="1" ht="18.600000000000001">
      <c r="A134" s="1778"/>
      <c r="B134" s="1778"/>
      <c r="C134" s="1778"/>
      <c r="D134" s="1778"/>
      <c r="E134" s="1778"/>
      <c r="F134" s="1778"/>
      <c r="G134" s="1778"/>
      <c r="H134" s="1778"/>
      <c r="I134" s="1778"/>
      <c r="J134" s="1778"/>
      <c r="K134" s="1778"/>
      <c r="L134" s="1778"/>
      <c r="M134" s="1778"/>
      <c r="N134" s="1167"/>
    </row>
    <row r="135" spans="1:16" s="1001" customFormat="1" ht="18.600000000000001">
      <c r="A135" s="1778"/>
      <c r="B135" s="1778"/>
      <c r="C135" s="1778"/>
      <c r="D135" s="1778"/>
      <c r="E135" s="1778"/>
      <c r="F135" s="1778"/>
      <c r="G135" s="1778"/>
      <c r="H135" s="1778"/>
      <c r="I135" s="1778"/>
      <c r="J135" s="1778"/>
      <c r="K135" s="1778"/>
      <c r="L135" s="1778"/>
      <c r="M135" s="1778"/>
      <c r="N135" s="1167"/>
    </row>
    <row r="136" spans="1:16" s="1001" customFormat="1" ht="18.600000000000001">
      <c r="A136" s="1778"/>
      <c r="B136" s="1778"/>
      <c r="C136" s="1778"/>
      <c r="D136" s="1778"/>
      <c r="E136" s="1778"/>
      <c r="F136" s="1778"/>
      <c r="G136" s="1778"/>
      <c r="H136" s="1778"/>
      <c r="I136" s="1778"/>
      <c r="J136" s="1778"/>
      <c r="K136" s="1778"/>
      <c r="L136" s="1778"/>
      <c r="M136" s="1778"/>
      <c r="N136" s="1167"/>
    </row>
    <row r="137" spans="1:16" s="1001" customFormat="1" ht="18.600000000000001">
      <c r="A137" s="1778"/>
      <c r="B137" s="1778"/>
      <c r="C137" s="1778"/>
      <c r="D137" s="1778"/>
      <c r="E137" s="1778"/>
      <c r="F137" s="1778"/>
      <c r="G137" s="1778"/>
      <c r="H137" s="1778"/>
      <c r="I137" s="1778"/>
      <c r="J137" s="1778"/>
      <c r="K137" s="1778"/>
      <c r="L137" s="1778"/>
      <c r="M137" s="1778"/>
      <c r="N137" s="1167"/>
    </row>
    <row r="138" spans="1:16" s="1001" customFormat="1" ht="18.600000000000001">
      <c r="A138" s="1778"/>
      <c r="B138" s="1778"/>
      <c r="C138" s="1778"/>
      <c r="D138" s="1778"/>
      <c r="E138" s="1778"/>
      <c r="F138" s="1778"/>
      <c r="G138" s="1778"/>
      <c r="H138" s="1778"/>
      <c r="I138" s="1778"/>
      <c r="J138" s="1778"/>
      <c r="K138" s="1778"/>
      <c r="L138" s="1778"/>
      <c r="M138" s="1778"/>
      <c r="N138" s="1167"/>
    </row>
    <row r="139" spans="1:16" s="1001" customFormat="1" ht="20.399999999999999" customHeight="1">
      <c r="A139" s="1778"/>
      <c r="B139" s="1778"/>
      <c r="C139" s="1778"/>
      <c r="D139" s="1778"/>
      <c r="E139" s="1778"/>
      <c r="F139" s="1778"/>
      <c r="G139" s="1778"/>
      <c r="H139" s="1778"/>
      <c r="I139" s="1778"/>
      <c r="J139" s="1778"/>
      <c r="K139" s="1778"/>
      <c r="L139" s="1778"/>
      <c r="M139" s="1778"/>
      <c r="N139" s="1192"/>
    </row>
    <row r="140" spans="1:16" s="1001" customFormat="1" ht="21" customHeight="1">
      <c r="A140" s="1778"/>
      <c r="B140" s="1778"/>
      <c r="C140" s="1778"/>
      <c r="D140" s="1778"/>
      <c r="E140" s="1778"/>
      <c r="F140" s="1778"/>
      <c r="G140" s="1778"/>
      <c r="H140" s="1778"/>
      <c r="I140" s="1778"/>
      <c r="J140" s="1778"/>
      <c r="K140" s="1778"/>
      <c r="L140" s="1778"/>
      <c r="M140" s="1778"/>
      <c r="N140" s="1171"/>
    </row>
    <row r="141" spans="1:16" ht="21">
      <c r="A141" s="1778"/>
      <c r="B141" s="1778"/>
      <c r="C141" s="1778"/>
      <c r="D141" s="1778"/>
      <c r="E141" s="1778"/>
      <c r="F141" s="1778"/>
      <c r="G141" s="1778"/>
      <c r="H141" s="1778"/>
      <c r="I141" s="1778"/>
      <c r="J141" s="1778"/>
      <c r="K141" s="1778"/>
      <c r="L141" s="1778"/>
      <c r="M141" s="1778"/>
      <c r="O141" s="1193"/>
      <c r="P141" s="337"/>
    </row>
    <row r="142" spans="1:16" ht="21">
      <c r="A142" s="1778"/>
      <c r="B142" s="1778"/>
      <c r="C142" s="1778"/>
      <c r="D142" s="1778"/>
      <c r="E142" s="1778"/>
      <c r="F142" s="1778"/>
      <c r="G142" s="1778"/>
      <c r="H142" s="1778"/>
      <c r="I142" s="1778"/>
      <c r="J142" s="1778"/>
      <c r="K142" s="1778"/>
      <c r="L142" s="1778"/>
      <c r="M142" s="1778"/>
      <c r="O142" s="1193"/>
      <c r="P142" s="337"/>
    </row>
    <row r="143" spans="1:16" s="997" customFormat="1">
      <c r="A143" s="1778"/>
      <c r="B143" s="1778"/>
      <c r="C143" s="1778"/>
      <c r="D143" s="1778"/>
      <c r="E143" s="1778"/>
      <c r="F143" s="1778"/>
      <c r="G143" s="1778"/>
      <c r="H143" s="1778"/>
      <c r="I143" s="1778"/>
      <c r="J143" s="1778"/>
      <c r="K143" s="1778"/>
      <c r="L143" s="1778"/>
      <c r="M143" s="1778"/>
    </row>
    <row r="144" spans="1:16" s="997" customFormat="1">
      <c r="A144" s="1778"/>
      <c r="B144" s="1778"/>
      <c r="C144" s="1778"/>
      <c r="D144" s="1778"/>
      <c r="E144" s="1778"/>
      <c r="F144" s="1778"/>
      <c r="G144" s="1778"/>
      <c r="H144" s="1778"/>
      <c r="I144" s="1778"/>
      <c r="J144" s="1778"/>
      <c r="K144" s="1778"/>
      <c r="L144" s="1778"/>
      <c r="M144" s="1778"/>
    </row>
    <row r="145" spans="1:16" s="997" customFormat="1">
      <c r="A145" s="1778"/>
      <c r="B145" s="1778"/>
      <c r="C145" s="1778"/>
      <c r="D145" s="1778"/>
      <c r="E145" s="1778"/>
      <c r="F145" s="1778"/>
      <c r="G145" s="1778"/>
      <c r="H145" s="1778"/>
      <c r="I145" s="1778"/>
      <c r="J145" s="1778"/>
      <c r="K145" s="1778"/>
      <c r="L145" s="1778"/>
      <c r="M145" s="1778"/>
    </row>
    <row r="146" spans="1:16" s="997" customFormat="1">
      <c r="A146" s="1778"/>
      <c r="B146" s="1778"/>
      <c r="C146" s="1778"/>
      <c r="D146" s="1778"/>
      <c r="E146" s="1778"/>
      <c r="F146" s="1778"/>
      <c r="G146" s="1778"/>
      <c r="H146" s="1778"/>
      <c r="I146" s="1778"/>
      <c r="J146" s="1778"/>
      <c r="K146" s="1778"/>
      <c r="L146" s="1778"/>
      <c r="M146" s="1778"/>
    </row>
    <row r="147" spans="1:16" s="997" customFormat="1">
      <c r="A147" s="1778"/>
      <c r="B147" s="1778"/>
      <c r="C147" s="1778"/>
      <c r="D147" s="1778"/>
      <c r="E147" s="1778"/>
      <c r="F147" s="1778"/>
      <c r="G147" s="1778"/>
      <c r="H147" s="1778"/>
      <c r="I147" s="1778"/>
      <c r="J147" s="1778"/>
      <c r="K147" s="1778"/>
      <c r="L147" s="1778"/>
      <c r="M147" s="1778"/>
    </row>
    <row r="148" spans="1:16" s="997" customFormat="1" ht="21" customHeight="1">
      <c r="A148" s="1778"/>
      <c r="B148" s="1778"/>
      <c r="C148" s="1778"/>
      <c r="D148" s="1778"/>
      <c r="E148" s="1778"/>
      <c r="F148" s="1778"/>
      <c r="G148" s="1778"/>
      <c r="H148" s="1778"/>
      <c r="I148" s="1778"/>
      <c r="J148" s="1778"/>
      <c r="K148" s="1778"/>
      <c r="L148" s="1778"/>
      <c r="M148" s="1778"/>
    </row>
    <row r="149" spans="1:16" s="997" customFormat="1" ht="21" customHeight="1">
      <c r="A149" s="1778"/>
      <c r="B149" s="1778"/>
      <c r="C149" s="1778"/>
      <c r="D149" s="1778"/>
      <c r="E149" s="1778"/>
      <c r="F149" s="1778"/>
      <c r="G149" s="1778"/>
      <c r="H149" s="1778"/>
      <c r="I149" s="1778"/>
      <c r="J149" s="1778"/>
      <c r="K149" s="1778"/>
      <c r="L149" s="1778"/>
      <c r="M149" s="1778"/>
    </row>
    <row r="150" spans="1:16" s="997" customFormat="1" ht="21" customHeight="1">
      <c r="A150" s="1778"/>
      <c r="B150" s="1778"/>
      <c r="C150" s="1778"/>
      <c r="D150" s="1778"/>
      <c r="E150" s="1778"/>
      <c r="F150" s="1778"/>
      <c r="G150" s="1778"/>
      <c r="H150" s="1778"/>
      <c r="I150" s="1778"/>
      <c r="J150" s="1778"/>
      <c r="K150" s="1778"/>
      <c r="L150" s="1778"/>
      <c r="M150" s="1778"/>
    </row>
    <row r="151" spans="1:16" s="997" customFormat="1" ht="21" customHeight="1">
      <c r="A151" s="1778"/>
      <c r="B151" s="1778"/>
      <c r="C151" s="1778"/>
      <c r="D151" s="1778"/>
      <c r="E151" s="1778"/>
      <c r="F151" s="1778"/>
      <c r="G151" s="1778"/>
      <c r="H151" s="1778"/>
      <c r="I151" s="1778"/>
      <c r="J151" s="1778"/>
      <c r="K151" s="1778"/>
      <c r="L151" s="1778"/>
      <c r="M151" s="1778"/>
    </row>
    <row r="152" spans="1:16" s="997" customFormat="1">
      <c r="A152" s="1778"/>
      <c r="B152" s="1778"/>
      <c r="C152" s="1778"/>
      <c r="D152" s="1778"/>
      <c r="E152" s="1778"/>
      <c r="F152" s="1778"/>
      <c r="G152" s="1778"/>
      <c r="H152" s="1778"/>
      <c r="I152" s="1778"/>
      <c r="J152" s="1778"/>
      <c r="K152" s="1778"/>
      <c r="L152" s="1778"/>
      <c r="M152" s="1778"/>
    </row>
    <row r="153" spans="1:16" s="997" customFormat="1">
      <c r="A153" s="1778"/>
      <c r="B153" s="1778"/>
      <c r="C153" s="1778"/>
      <c r="D153" s="1778"/>
      <c r="E153" s="1778"/>
      <c r="F153" s="1778"/>
      <c r="G153" s="1778"/>
      <c r="H153" s="1778"/>
      <c r="I153" s="1778"/>
      <c r="J153" s="1778"/>
      <c r="K153" s="1778"/>
      <c r="L153" s="1778"/>
      <c r="M153" s="1778"/>
    </row>
    <row r="154" spans="1:16" s="997" customFormat="1" ht="21" customHeight="1">
      <c r="A154" s="1778"/>
      <c r="B154" s="1778"/>
      <c r="C154" s="1778"/>
      <c r="D154" s="1778"/>
      <c r="E154" s="1778"/>
      <c r="F154" s="1778"/>
      <c r="G154" s="1778"/>
      <c r="H154" s="1778"/>
      <c r="I154" s="1778"/>
      <c r="J154" s="1778"/>
      <c r="K154" s="1778"/>
      <c r="L154" s="1778"/>
      <c r="M154" s="1778"/>
    </row>
    <row r="155" spans="1:16" s="1002" customFormat="1" ht="21" customHeight="1">
      <c r="A155" s="1778"/>
      <c r="B155" s="1778"/>
      <c r="C155" s="1778"/>
      <c r="D155" s="1778"/>
      <c r="E155" s="1778"/>
      <c r="F155" s="1778"/>
      <c r="G155" s="1778"/>
      <c r="H155" s="1778"/>
      <c r="I155" s="1778"/>
      <c r="J155" s="1778"/>
      <c r="K155" s="1778"/>
      <c r="L155" s="1778"/>
      <c r="M155" s="1778"/>
    </row>
    <row r="156" spans="1:16">
      <c r="A156" s="1778"/>
      <c r="B156" s="1778"/>
      <c r="C156" s="1778"/>
      <c r="D156" s="1778"/>
      <c r="E156" s="1778"/>
      <c r="F156" s="1778"/>
      <c r="G156" s="1778"/>
      <c r="H156" s="1778"/>
      <c r="I156" s="1778"/>
      <c r="J156" s="1778"/>
      <c r="K156" s="1778"/>
      <c r="L156" s="1778"/>
      <c r="M156" s="1778"/>
    </row>
    <row r="157" spans="1:16">
      <c r="A157" s="1778"/>
      <c r="B157" s="1778"/>
      <c r="C157" s="1778"/>
      <c r="D157" s="1778"/>
      <c r="E157" s="1778"/>
      <c r="F157" s="1778"/>
      <c r="G157" s="1778"/>
      <c r="H157" s="1778"/>
      <c r="I157" s="1778"/>
      <c r="J157" s="1778"/>
      <c r="K157" s="1778"/>
      <c r="L157" s="1778"/>
      <c r="M157" s="1778"/>
    </row>
    <row r="158" spans="1:16">
      <c r="A158" s="1778"/>
      <c r="B158" s="1778"/>
      <c r="C158" s="1778"/>
      <c r="D158" s="1778"/>
      <c r="E158" s="1778"/>
      <c r="F158" s="1778"/>
      <c r="G158" s="1778"/>
      <c r="H158" s="1778"/>
      <c r="I158" s="1778"/>
      <c r="J158" s="1778"/>
      <c r="K158" s="1778"/>
      <c r="L158" s="1778"/>
      <c r="M158" s="1778"/>
    </row>
    <row r="159" spans="1:16" s="997" customFormat="1" ht="21" customHeight="1">
      <c r="A159" s="1778"/>
      <c r="B159" s="1778"/>
      <c r="C159" s="1778"/>
      <c r="D159" s="1778"/>
      <c r="E159" s="1778"/>
      <c r="F159" s="1778"/>
      <c r="G159" s="1778"/>
      <c r="H159" s="1778"/>
      <c r="I159" s="1778"/>
      <c r="J159" s="1778"/>
      <c r="K159" s="1778"/>
      <c r="L159" s="1778"/>
      <c r="M159" s="1778"/>
      <c r="N159" s="1195"/>
      <c r="O159" s="1106"/>
    </row>
    <row r="160" spans="1:16" s="997" customFormat="1">
      <c r="A160" s="1778"/>
      <c r="B160" s="1778"/>
      <c r="C160" s="1778"/>
      <c r="D160" s="1778"/>
      <c r="E160" s="1778"/>
      <c r="F160" s="1778"/>
      <c r="G160" s="1778"/>
      <c r="H160" s="1778"/>
      <c r="I160" s="1778"/>
      <c r="J160" s="1778"/>
      <c r="K160" s="1778"/>
      <c r="L160" s="1778"/>
      <c r="M160" s="1778"/>
      <c r="N160" s="2014"/>
      <c r="O160" s="2015"/>
      <c r="P160" s="1183"/>
    </row>
    <row r="161" spans="1:14" s="997" customFormat="1" ht="21" customHeight="1">
      <c r="A161" s="1778"/>
      <c r="B161" s="1778"/>
      <c r="C161" s="1778"/>
      <c r="D161" s="1778"/>
      <c r="E161" s="1778"/>
      <c r="F161" s="1778"/>
      <c r="G161" s="1778"/>
      <c r="H161" s="1778"/>
      <c r="I161" s="1778"/>
      <c r="J161" s="1778"/>
      <c r="K161" s="1778"/>
      <c r="L161" s="1778"/>
      <c r="M161" s="1778"/>
      <c r="N161" s="1106"/>
    </row>
    <row r="162" spans="1:14" s="997" customFormat="1" ht="21" customHeight="1">
      <c r="A162" s="1778"/>
      <c r="B162" s="1778"/>
      <c r="C162" s="1778"/>
      <c r="D162" s="1778"/>
      <c r="E162" s="1778"/>
      <c r="F162" s="1778"/>
      <c r="G162" s="1778"/>
      <c r="H162" s="1778"/>
      <c r="I162" s="1778"/>
      <c r="J162" s="1778"/>
      <c r="K162" s="1778"/>
      <c r="L162" s="1778"/>
      <c r="M162" s="1778"/>
      <c r="N162" s="1106"/>
    </row>
    <row r="163" spans="1:14" s="997" customFormat="1" ht="21" customHeight="1">
      <c r="A163" s="1778"/>
      <c r="B163" s="1778"/>
      <c r="C163" s="1778"/>
      <c r="D163" s="1778"/>
      <c r="E163" s="1778"/>
      <c r="F163" s="1778"/>
      <c r="G163" s="1778"/>
      <c r="H163" s="1778"/>
      <c r="I163" s="1778"/>
      <c r="J163" s="1778"/>
      <c r="K163" s="1778"/>
      <c r="L163" s="1778"/>
      <c r="M163" s="1778"/>
      <c r="N163" s="1106"/>
    </row>
    <row r="164" spans="1:14" s="997" customFormat="1" ht="21" customHeight="1">
      <c r="A164" s="1778"/>
      <c r="B164" s="1778"/>
      <c r="C164" s="1778"/>
      <c r="D164" s="1778"/>
      <c r="E164" s="1778"/>
      <c r="F164" s="1778"/>
      <c r="G164" s="1778"/>
      <c r="H164" s="1778"/>
      <c r="I164" s="1778"/>
      <c r="J164" s="1778"/>
      <c r="K164" s="1778"/>
      <c r="L164" s="1778"/>
      <c r="M164" s="1778"/>
      <c r="N164" s="1106"/>
    </row>
    <row r="165" spans="1:14" s="997" customFormat="1" ht="21" customHeight="1">
      <c r="A165" s="1778"/>
      <c r="B165" s="1778"/>
      <c r="C165" s="1778"/>
      <c r="D165" s="1778"/>
      <c r="E165" s="1778"/>
      <c r="F165" s="1778"/>
      <c r="G165" s="1778"/>
      <c r="H165" s="1778"/>
      <c r="I165" s="1778"/>
      <c r="J165" s="1778"/>
      <c r="K165" s="1778"/>
      <c r="L165" s="1778"/>
      <c r="M165" s="1778"/>
      <c r="N165" s="1106"/>
    </row>
    <row r="166" spans="1:14" s="997" customFormat="1" ht="21" customHeight="1">
      <c r="A166" s="1778"/>
      <c r="B166" s="1778"/>
      <c r="C166" s="1778"/>
      <c r="D166" s="1778"/>
      <c r="E166" s="1778"/>
      <c r="F166" s="1778"/>
      <c r="G166" s="1778"/>
      <c r="H166" s="1778"/>
      <c r="I166" s="1778"/>
      <c r="J166" s="1778"/>
      <c r="K166" s="1778"/>
      <c r="L166" s="1778"/>
      <c r="M166" s="1778"/>
      <c r="N166" s="1106"/>
    </row>
    <row r="167" spans="1:14" s="997" customFormat="1" ht="21" customHeight="1">
      <c r="A167" s="1778"/>
      <c r="B167" s="1778"/>
      <c r="C167" s="1778"/>
      <c r="D167" s="1778"/>
      <c r="E167" s="1778"/>
      <c r="F167" s="1778"/>
      <c r="G167" s="1778"/>
      <c r="H167" s="1778"/>
      <c r="I167" s="1778"/>
      <c r="J167" s="1778"/>
      <c r="K167" s="1778"/>
      <c r="L167" s="1778"/>
      <c r="M167" s="1778"/>
      <c r="N167" s="1106"/>
    </row>
    <row r="168" spans="1:14" s="997" customFormat="1" ht="21" customHeight="1">
      <c r="A168" s="1778"/>
      <c r="B168" s="1778"/>
      <c r="C168" s="1778"/>
      <c r="D168" s="1778"/>
      <c r="E168" s="1778"/>
      <c r="F168" s="1778"/>
      <c r="G168" s="1778"/>
      <c r="H168" s="1778"/>
      <c r="I168" s="1778"/>
      <c r="J168" s="1778"/>
      <c r="K168" s="1778"/>
      <c r="L168" s="1778"/>
      <c r="M168" s="1778"/>
      <c r="N168" s="1106"/>
    </row>
    <row r="169" spans="1:14" s="997" customFormat="1" ht="21" customHeight="1">
      <c r="A169" s="1778"/>
      <c r="B169" s="1778"/>
      <c r="C169" s="1778"/>
      <c r="D169" s="1778"/>
      <c r="E169" s="1778"/>
      <c r="F169" s="1778"/>
      <c r="G169" s="1778"/>
      <c r="H169" s="1778"/>
      <c r="I169" s="1778"/>
      <c r="J169" s="1778"/>
      <c r="K169" s="1778"/>
      <c r="L169" s="1778"/>
      <c r="M169" s="1778"/>
      <c r="N169" s="1106"/>
    </row>
    <row r="170" spans="1:14" s="997" customFormat="1" ht="21" customHeight="1">
      <c r="A170" s="1778"/>
      <c r="B170" s="1778"/>
      <c r="C170" s="1778"/>
      <c r="D170" s="1778"/>
      <c r="E170" s="1778"/>
      <c r="F170" s="1778"/>
      <c r="G170" s="1778"/>
      <c r="H170" s="1778"/>
      <c r="I170" s="1778"/>
      <c r="J170" s="1778"/>
      <c r="K170" s="1778"/>
      <c r="L170" s="1778"/>
      <c r="M170" s="1778"/>
      <c r="N170" s="1106"/>
    </row>
    <row r="171" spans="1:14" s="997" customFormat="1" ht="21" customHeight="1">
      <c r="A171" s="1778"/>
      <c r="B171" s="1778"/>
      <c r="C171" s="1778"/>
      <c r="D171" s="1778"/>
      <c r="E171" s="1778"/>
      <c r="F171" s="1778"/>
      <c r="G171" s="1778"/>
      <c r="H171" s="1778"/>
      <c r="I171" s="1778"/>
      <c r="J171" s="1778"/>
      <c r="K171" s="1778"/>
      <c r="L171" s="1778"/>
      <c r="M171" s="1778"/>
      <c r="N171" s="1106"/>
    </row>
    <row r="172" spans="1:14" s="997" customFormat="1" ht="21" customHeight="1">
      <c r="A172" s="1778"/>
      <c r="B172" s="1778"/>
      <c r="C172" s="1778"/>
      <c r="D172" s="1778"/>
      <c r="E172" s="1778"/>
      <c r="F172" s="1778"/>
      <c r="G172" s="1778"/>
      <c r="H172" s="1778"/>
      <c r="I172" s="1778"/>
      <c r="J172" s="1778"/>
      <c r="K172" s="1778"/>
      <c r="L172" s="1778"/>
      <c r="M172" s="1778"/>
      <c r="N172" s="1106"/>
    </row>
    <row r="173" spans="1:14" s="997" customFormat="1" ht="21" customHeight="1">
      <c r="A173" s="1778"/>
      <c r="B173" s="1778"/>
      <c r="C173" s="1778"/>
      <c r="D173" s="1778"/>
      <c r="E173" s="1778"/>
      <c r="F173" s="1778"/>
      <c r="G173" s="1778"/>
      <c r="H173" s="1778"/>
      <c r="I173" s="1778"/>
      <c r="J173" s="1778"/>
      <c r="K173" s="1778"/>
      <c r="L173" s="1778"/>
      <c r="M173" s="1778"/>
      <c r="N173" s="1106"/>
    </row>
    <row r="174" spans="1:14" s="997" customFormat="1" ht="21" customHeight="1">
      <c r="A174" s="1778"/>
      <c r="B174" s="1778"/>
      <c r="C174" s="1778"/>
      <c r="D174" s="1778"/>
      <c r="E174" s="1778"/>
      <c r="F174" s="1778"/>
      <c r="G174" s="1778"/>
      <c r="H174" s="1778"/>
      <c r="I174" s="1778"/>
      <c r="J174" s="1778"/>
      <c r="K174" s="1778"/>
      <c r="L174" s="1778"/>
      <c r="M174" s="1778"/>
      <c r="N174" s="1106"/>
    </row>
    <row r="175" spans="1:14" s="997" customFormat="1" ht="21" customHeight="1">
      <c r="A175" s="1778"/>
      <c r="B175" s="1778"/>
      <c r="C175" s="1778"/>
      <c r="D175" s="1778"/>
      <c r="E175" s="1778"/>
      <c r="F175" s="1778"/>
      <c r="G175" s="1778"/>
      <c r="H175" s="1778"/>
      <c r="I175" s="1778"/>
      <c r="J175" s="1778"/>
      <c r="K175" s="1778"/>
      <c r="L175" s="1778"/>
      <c r="M175" s="1778"/>
      <c r="N175" s="1106"/>
    </row>
    <row r="176" spans="1:14" s="997" customFormat="1" ht="21" customHeight="1">
      <c r="A176" s="1778"/>
      <c r="B176" s="1778"/>
      <c r="C176" s="1778"/>
      <c r="D176" s="1778"/>
      <c r="E176" s="1778"/>
      <c r="F176" s="1778"/>
      <c r="G176" s="1778"/>
      <c r="H176" s="1778"/>
      <c r="I176" s="1778"/>
      <c r="J176" s="1778"/>
      <c r="K176" s="1778"/>
      <c r="L176" s="1778"/>
      <c r="M176" s="1778"/>
      <c r="N176" s="1106"/>
    </row>
    <row r="177" spans="1:14" s="997" customFormat="1" ht="21" customHeight="1">
      <c r="A177" s="1778"/>
      <c r="B177" s="1778"/>
      <c r="C177" s="1778"/>
      <c r="D177" s="1778"/>
      <c r="E177" s="1778"/>
      <c r="F177" s="1778"/>
      <c r="G177" s="1778"/>
      <c r="H177" s="1778"/>
      <c r="I177" s="1778"/>
      <c r="J177" s="1778"/>
      <c r="K177" s="1778"/>
      <c r="L177" s="1778"/>
      <c r="M177" s="1778"/>
      <c r="N177" s="1106"/>
    </row>
    <row r="178" spans="1:14" s="997" customFormat="1" ht="21" customHeight="1">
      <c r="A178" s="1778"/>
      <c r="B178" s="1778"/>
      <c r="C178" s="1778"/>
      <c r="D178" s="1778"/>
      <c r="E178" s="1778"/>
      <c r="F178" s="1778"/>
      <c r="G178" s="1778"/>
      <c r="H178" s="1778"/>
      <c r="I178" s="1778"/>
      <c r="J178" s="1778"/>
      <c r="K178" s="1778"/>
      <c r="L178" s="1778"/>
      <c r="M178" s="1778"/>
      <c r="N178" s="1106"/>
    </row>
    <row r="179" spans="1:14" s="997" customFormat="1" ht="21" customHeight="1">
      <c r="A179" s="1778"/>
      <c r="B179" s="1778"/>
      <c r="C179" s="1778"/>
      <c r="D179" s="1778"/>
      <c r="E179" s="1778"/>
      <c r="F179" s="1778"/>
      <c r="G179" s="1778"/>
      <c r="H179" s="1778"/>
      <c r="I179" s="1778"/>
      <c r="J179" s="1778"/>
      <c r="K179" s="1778"/>
      <c r="L179" s="1778"/>
      <c r="M179" s="1778"/>
      <c r="N179" s="1106"/>
    </row>
    <row r="180" spans="1:14" s="997" customFormat="1" ht="21" customHeight="1">
      <c r="A180" s="1778"/>
      <c r="B180" s="1778"/>
      <c r="C180" s="1778"/>
      <c r="D180" s="1778"/>
      <c r="E180" s="1778"/>
      <c r="F180" s="1778"/>
      <c r="G180" s="1778"/>
      <c r="H180" s="1778"/>
      <c r="I180" s="1778"/>
      <c r="J180" s="1778"/>
      <c r="K180" s="1778"/>
      <c r="L180" s="1778"/>
      <c r="M180" s="1778"/>
      <c r="N180" s="1106"/>
    </row>
    <row r="181" spans="1:14" s="997" customFormat="1" ht="21" customHeight="1">
      <c r="A181" s="1778"/>
      <c r="B181" s="1778"/>
      <c r="C181" s="1778"/>
      <c r="D181" s="1778"/>
      <c r="E181" s="1778"/>
      <c r="F181" s="1778"/>
      <c r="G181" s="1778"/>
      <c r="H181" s="1778"/>
      <c r="I181" s="1778"/>
      <c r="J181" s="1778"/>
      <c r="K181" s="1778"/>
      <c r="L181" s="1778"/>
      <c r="M181" s="1778"/>
      <c r="N181" s="1106"/>
    </row>
    <row r="182" spans="1:14" s="997" customFormat="1" ht="21" customHeight="1">
      <c r="A182" s="1778"/>
      <c r="B182" s="1778"/>
      <c r="C182" s="1778"/>
      <c r="D182" s="1778"/>
      <c r="E182" s="1778"/>
      <c r="F182" s="1778"/>
      <c r="G182" s="1778"/>
      <c r="H182" s="1778"/>
      <c r="I182" s="1778"/>
      <c r="J182" s="1778"/>
      <c r="K182" s="1778"/>
      <c r="L182" s="1778"/>
      <c r="M182" s="1778"/>
      <c r="N182" s="1106"/>
    </row>
    <row r="183" spans="1:14" s="997" customFormat="1" ht="21" customHeight="1">
      <c r="A183" s="1778"/>
      <c r="B183" s="1778"/>
      <c r="C183" s="1778"/>
      <c r="D183" s="1778"/>
      <c r="E183" s="1778"/>
      <c r="F183" s="1778"/>
      <c r="G183" s="1778"/>
      <c r="H183" s="1778"/>
      <c r="I183" s="1778"/>
      <c r="J183" s="1778"/>
      <c r="K183" s="1778"/>
      <c r="L183" s="1778"/>
      <c r="M183" s="1778"/>
      <c r="N183" s="1106"/>
    </row>
    <row r="184" spans="1:14" s="997" customFormat="1" ht="21" customHeight="1">
      <c r="A184" s="1778"/>
      <c r="B184" s="1778"/>
      <c r="C184" s="1778"/>
      <c r="D184" s="1778"/>
      <c r="E184" s="1778"/>
      <c r="F184" s="1778"/>
      <c r="G184" s="1778"/>
      <c r="H184" s="1778"/>
      <c r="I184" s="1778"/>
      <c r="J184" s="1778"/>
      <c r="K184" s="1778"/>
      <c r="L184" s="1778"/>
      <c r="M184" s="1778"/>
      <c r="N184" s="1106"/>
    </row>
    <row r="185" spans="1:14" s="997" customFormat="1" ht="21" customHeight="1">
      <c r="A185" s="1778"/>
      <c r="B185" s="1778"/>
      <c r="C185" s="1778"/>
      <c r="D185" s="1778"/>
      <c r="E185" s="1778"/>
      <c r="F185" s="1778"/>
      <c r="G185" s="1778"/>
      <c r="H185" s="1778"/>
      <c r="I185" s="1778"/>
      <c r="J185" s="1778"/>
      <c r="K185" s="1778"/>
      <c r="L185" s="1778"/>
      <c r="M185" s="1778"/>
      <c r="N185" s="1106"/>
    </row>
    <row r="186" spans="1:14" s="997" customFormat="1" ht="21" customHeight="1">
      <c r="A186" s="1778"/>
      <c r="B186" s="1778"/>
      <c r="C186" s="1778"/>
      <c r="D186" s="1778"/>
      <c r="E186" s="1778"/>
      <c r="F186" s="1778"/>
      <c r="G186" s="1778"/>
      <c r="H186" s="1778"/>
      <c r="I186" s="1778"/>
      <c r="J186" s="1778"/>
      <c r="K186" s="1778"/>
      <c r="L186" s="1778"/>
      <c r="M186" s="1778"/>
      <c r="N186" s="1106"/>
    </row>
    <row r="187" spans="1:14" s="997" customFormat="1" ht="21" customHeight="1">
      <c r="A187" s="1778"/>
      <c r="B187" s="1778"/>
      <c r="C187" s="1778"/>
      <c r="D187" s="1778"/>
      <c r="E187" s="1778"/>
      <c r="F187" s="1778"/>
      <c r="G187" s="1778"/>
      <c r="H187" s="1778"/>
      <c r="I187" s="1778"/>
      <c r="J187" s="1778"/>
      <c r="K187" s="1778"/>
      <c r="L187" s="1778"/>
      <c r="M187" s="1778"/>
      <c r="N187" s="1106"/>
    </row>
    <row r="188" spans="1:14" s="997" customFormat="1" ht="21" customHeight="1">
      <c r="A188" s="1778"/>
      <c r="B188" s="1778"/>
      <c r="C188" s="1778"/>
      <c r="D188" s="1778"/>
      <c r="E188" s="1778"/>
      <c r="F188" s="1778"/>
      <c r="G188" s="1778"/>
      <c r="H188" s="1778"/>
      <c r="I188" s="1778"/>
      <c r="J188" s="1778"/>
      <c r="K188" s="1778"/>
      <c r="L188" s="1778"/>
      <c r="M188" s="1778"/>
      <c r="N188" s="1106"/>
    </row>
    <row r="189" spans="1:14" s="997" customFormat="1" ht="21" customHeight="1">
      <c r="A189" s="1778"/>
      <c r="B189" s="1778"/>
      <c r="C189" s="1778"/>
      <c r="D189" s="1778"/>
      <c r="E189" s="1778"/>
      <c r="F189" s="1778"/>
      <c r="G189" s="1778"/>
      <c r="H189" s="1778"/>
      <c r="I189" s="1778"/>
      <c r="J189" s="1778"/>
      <c r="K189" s="1778"/>
      <c r="L189" s="1778"/>
      <c r="M189" s="1778"/>
      <c r="N189" s="1106"/>
    </row>
    <row r="190" spans="1:14" s="997" customFormat="1" ht="21" customHeight="1">
      <c r="A190" s="1778"/>
      <c r="B190" s="1778"/>
      <c r="C190" s="1778"/>
      <c r="D190" s="1778"/>
      <c r="E190" s="1778"/>
      <c r="F190" s="1778"/>
      <c r="G190" s="1778"/>
      <c r="H190" s="1778"/>
      <c r="I190" s="1778"/>
      <c r="J190" s="1778"/>
      <c r="K190" s="1778"/>
      <c r="L190" s="1778"/>
      <c r="M190" s="1778"/>
      <c r="N190" s="1106"/>
    </row>
    <row r="191" spans="1:14" s="997" customFormat="1" ht="21" customHeight="1">
      <c r="A191" s="1778"/>
      <c r="B191" s="1778"/>
      <c r="C191" s="1778"/>
      <c r="D191" s="1778"/>
      <c r="E191" s="1778"/>
      <c r="F191" s="1778"/>
      <c r="G191" s="1778"/>
      <c r="H191" s="1778"/>
      <c r="I191" s="1778"/>
      <c r="J191" s="1778"/>
      <c r="K191" s="1778"/>
      <c r="L191" s="1778"/>
      <c r="M191" s="1778"/>
      <c r="N191" s="1106"/>
    </row>
    <row r="192" spans="1:14" s="997" customFormat="1" ht="21" customHeight="1">
      <c r="A192" s="1778"/>
      <c r="B192" s="1778"/>
      <c r="C192" s="1778"/>
      <c r="D192" s="1778"/>
      <c r="E192" s="1778"/>
      <c r="F192" s="1778"/>
      <c r="G192" s="1778"/>
      <c r="H192" s="1778"/>
      <c r="I192" s="1778"/>
      <c r="J192" s="1778"/>
      <c r="K192" s="1778"/>
      <c r="L192" s="1778"/>
      <c r="M192" s="1778"/>
      <c r="N192" s="1106"/>
    </row>
    <row r="193" spans="1:14" s="997" customFormat="1" ht="21" customHeight="1">
      <c r="A193" s="1778"/>
      <c r="B193" s="1778"/>
      <c r="C193" s="1778"/>
      <c r="D193" s="1778"/>
      <c r="E193" s="1778"/>
      <c r="F193" s="1778"/>
      <c r="G193" s="1778"/>
      <c r="H193" s="1778"/>
      <c r="I193" s="1778"/>
      <c r="J193" s="1778"/>
      <c r="K193" s="1778"/>
      <c r="L193" s="1778"/>
      <c r="M193" s="1778"/>
      <c r="N193" s="1106"/>
    </row>
    <row r="194" spans="1:14" s="997" customFormat="1" ht="21" customHeight="1">
      <c r="A194" s="1778"/>
      <c r="B194" s="1778"/>
      <c r="C194" s="1778"/>
      <c r="D194" s="1778"/>
      <c r="E194" s="1778"/>
      <c r="F194" s="1778"/>
      <c r="G194" s="1778"/>
      <c r="H194" s="1778"/>
      <c r="I194" s="1778"/>
      <c r="J194" s="1778"/>
      <c r="K194" s="1778"/>
      <c r="L194" s="1778"/>
      <c r="M194" s="1778"/>
      <c r="N194" s="1106"/>
    </row>
    <row r="195" spans="1:14" s="997" customFormat="1" ht="21" customHeight="1">
      <c r="A195" s="1778"/>
      <c r="B195" s="1778"/>
      <c r="C195" s="1778"/>
      <c r="D195" s="1778"/>
      <c r="E195" s="1778"/>
      <c r="F195" s="1778"/>
      <c r="G195" s="1778"/>
      <c r="H195" s="1778"/>
      <c r="I195" s="1778"/>
      <c r="J195" s="1778"/>
      <c r="K195" s="1778"/>
      <c r="L195" s="1778"/>
      <c r="M195" s="1778"/>
      <c r="N195" s="1106"/>
    </row>
    <row r="196" spans="1:14" s="997" customFormat="1" ht="21" customHeight="1">
      <c r="A196" s="1778"/>
      <c r="B196" s="1778"/>
      <c r="C196" s="1778"/>
      <c r="D196" s="1778"/>
      <c r="E196" s="1778"/>
      <c r="F196" s="1778"/>
      <c r="G196" s="1778"/>
      <c r="H196" s="1778"/>
      <c r="I196" s="1778"/>
      <c r="J196" s="1778"/>
      <c r="K196" s="1778"/>
      <c r="L196" s="1778"/>
      <c r="M196" s="1778"/>
      <c r="N196" s="1106"/>
    </row>
    <row r="197" spans="1:14" s="997" customFormat="1" ht="21" customHeight="1">
      <c r="A197" s="1778"/>
      <c r="B197" s="1778"/>
      <c r="C197" s="1778"/>
      <c r="D197" s="1778"/>
      <c r="E197" s="1778"/>
      <c r="F197" s="1778"/>
      <c r="G197" s="1778"/>
      <c r="H197" s="1778"/>
      <c r="I197" s="1778"/>
      <c r="J197" s="1778"/>
      <c r="K197" s="1778"/>
      <c r="L197" s="1778"/>
      <c r="M197" s="1778"/>
      <c r="N197" s="1106"/>
    </row>
    <row r="198" spans="1:14" s="997" customFormat="1" ht="21" customHeight="1">
      <c r="A198" s="1778"/>
      <c r="B198" s="1778"/>
      <c r="C198" s="1778"/>
      <c r="D198" s="1778"/>
      <c r="E198" s="1778"/>
      <c r="F198" s="1778"/>
      <c r="G198" s="1778"/>
      <c r="H198" s="1778"/>
      <c r="I198" s="1778"/>
      <c r="J198" s="1778"/>
      <c r="K198" s="1778"/>
      <c r="L198" s="1778"/>
      <c r="M198" s="1778"/>
      <c r="N198" s="1106"/>
    </row>
    <row r="199" spans="1:14" s="997" customFormat="1" ht="21" customHeight="1">
      <c r="A199" s="1778"/>
      <c r="B199" s="1778"/>
      <c r="C199" s="1778"/>
      <c r="D199" s="1778"/>
      <c r="E199" s="1778"/>
      <c r="F199" s="1778"/>
      <c r="G199" s="1778"/>
      <c r="H199" s="1778"/>
      <c r="I199" s="1778"/>
      <c r="J199" s="1778"/>
      <c r="K199" s="1778"/>
      <c r="L199" s="1778"/>
      <c r="M199" s="1778"/>
      <c r="N199" s="1106"/>
    </row>
    <row r="200" spans="1:14" s="997" customFormat="1" ht="21" customHeight="1">
      <c r="A200" s="1778"/>
      <c r="B200" s="1778"/>
      <c r="C200" s="1778"/>
      <c r="D200" s="1778"/>
      <c r="E200" s="1778"/>
      <c r="F200" s="1778"/>
      <c r="G200" s="1778"/>
      <c r="H200" s="1778"/>
      <c r="I200" s="1778"/>
      <c r="J200" s="1778"/>
      <c r="K200" s="1778"/>
      <c r="L200" s="1778"/>
      <c r="M200" s="1778"/>
      <c r="N200" s="1106"/>
    </row>
    <row r="201" spans="1:14" s="997" customFormat="1" ht="21" customHeight="1">
      <c r="A201" s="1778"/>
      <c r="B201" s="1778"/>
      <c r="C201" s="1778"/>
      <c r="D201" s="1778"/>
      <c r="E201" s="1778"/>
      <c r="F201" s="1778"/>
      <c r="G201" s="1778"/>
      <c r="H201" s="1778"/>
      <c r="I201" s="1778"/>
      <c r="J201" s="1778"/>
      <c r="K201" s="1778"/>
      <c r="L201" s="1778"/>
      <c r="M201" s="1778"/>
      <c r="N201" s="1106"/>
    </row>
    <row r="202" spans="1:14" s="997" customFormat="1" ht="21" customHeight="1">
      <c r="A202" s="1778"/>
      <c r="B202" s="1778"/>
      <c r="C202" s="1778"/>
      <c r="D202" s="1778"/>
      <c r="E202" s="1778"/>
      <c r="F202" s="1778"/>
      <c r="G202" s="1778"/>
      <c r="H202" s="1778"/>
      <c r="I202" s="1778"/>
      <c r="J202" s="1778"/>
      <c r="K202" s="1778"/>
      <c r="L202" s="1778"/>
      <c r="M202" s="1778"/>
      <c r="N202" s="1106"/>
    </row>
    <row r="203" spans="1:14" s="997" customFormat="1" ht="21" customHeight="1">
      <c r="A203" s="1778"/>
      <c r="B203" s="1778"/>
      <c r="C203" s="1778"/>
      <c r="D203" s="1778"/>
      <c r="E203" s="1778"/>
      <c r="F203" s="1778"/>
      <c r="G203" s="1778"/>
      <c r="H203" s="1778"/>
      <c r="I203" s="1778"/>
      <c r="J203" s="1778"/>
      <c r="K203" s="1778"/>
      <c r="L203" s="1778"/>
      <c r="M203" s="1778"/>
      <c r="N203" s="1106"/>
    </row>
    <row r="204" spans="1:14" s="997" customFormat="1" ht="21" customHeight="1">
      <c r="A204" s="1778"/>
      <c r="B204" s="1778"/>
      <c r="C204" s="1778"/>
      <c r="D204" s="1778"/>
      <c r="E204" s="1778"/>
      <c r="F204" s="1778"/>
      <c r="G204" s="1778"/>
      <c r="H204" s="1778"/>
      <c r="I204" s="1778"/>
      <c r="J204" s="1778"/>
      <c r="K204" s="1778"/>
      <c r="L204" s="1778"/>
      <c r="M204" s="1778"/>
      <c r="N204" s="1106"/>
    </row>
    <row r="205" spans="1:14" s="997" customFormat="1" ht="21" customHeight="1">
      <c r="A205" s="1778"/>
      <c r="B205" s="1778"/>
      <c r="C205" s="1778"/>
      <c r="D205" s="1778"/>
      <c r="E205" s="1778"/>
      <c r="F205" s="1778"/>
      <c r="G205" s="1778"/>
      <c r="H205" s="1778"/>
      <c r="I205" s="1778"/>
      <c r="J205" s="1778"/>
      <c r="K205" s="1778"/>
      <c r="L205" s="1778"/>
      <c r="M205" s="1778"/>
      <c r="N205" s="1106"/>
    </row>
    <row r="206" spans="1:14" s="997" customFormat="1" ht="21" customHeight="1">
      <c r="A206" s="1778"/>
      <c r="B206" s="1778"/>
      <c r="C206" s="1778"/>
      <c r="D206" s="1778"/>
      <c r="E206" s="1778"/>
      <c r="F206" s="1778"/>
      <c r="G206" s="1778"/>
      <c r="H206" s="1778"/>
      <c r="I206" s="1778"/>
      <c r="J206" s="1778"/>
      <c r="K206" s="1778"/>
      <c r="L206" s="1778"/>
      <c r="M206" s="1778"/>
      <c r="N206" s="1106"/>
    </row>
    <row r="207" spans="1:14" s="997" customFormat="1" ht="21" customHeight="1">
      <c r="A207" s="1778"/>
      <c r="B207" s="1778"/>
      <c r="C207" s="1778"/>
      <c r="D207" s="1778"/>
      <c r="E207" s="1778"/>
      <c r="F207" s="1778"/>
      <c r="G207" s="1778"/>
      <c r="H207" s="1778"/>
      <c r="I207" s="1778"/>
      <c r="J207" s="1778"/>
      <c r="K207" s="1778"/>
      <c r="L207" s="1778"/>
      <c r="M207" s="1778"/>
      <c r="N207" s="1106"/>
    </row>
    <row r="208" spans="1:14" s="997" customFormat="1" ht="21" customHeight="1">
      <c r="A208" s="1778"/>
      <c r="B208" s="1778"/>
      <c r="C208" s="1778"/>
      <c r="D208" s="1778"/>
      <c r="E208" s="1778"/>
      <c r="F208" s="1778"/>
      <c r="G208" s="1778"/>
      <c r="H208" s="1778"/>
      <c r="I208" s="1778"/>
      <c r="J208" s="1778"/>
      <c r="K208" s="1778"/>
      <c r="L208" s="1778"/>
      <c r="M208" s="1778"/>
      <c r="N208" s="1106"/>
    </row>
    <row r="209" spans="1:16" s="997" customFormat="1" ht="21" customHeight="1">
      <c r="A209" s="1778"/>
      <c r="B209" s="1778"/>
      <c r="C209" s="1778"/>
      <c r="D209" s="1778"/>
      <c r="E209" s="1778"/>
      <c r="F209" s="1778"/>
      <c r="G209" s="1778"/>
      <c r="H209" s="1778"/>
      <c r="I209" s="1778"/>
      <c r="J209" s="1778"/>
      <c r="K209" s="1778"/>
      <c r="L209" s="1778"/>
      <c r="M209" s="1778"/>
      <c r="N209" s="1106"/>
    </row>
    <row r="210" spans="1:16" s="997" customFormat="1" ht="21" customHeight="1">
      <c r="A210" s="1778"/>
      <c r="B210" s="1778"/>
      <c r="C210" s="1778"/>
      <c r="D210" s="1778"/>
      <c r="E210" s="1778"/>
      <c r="F210" s="1778"/>
      <c r="G210" s="1778"/>
      <c r="H210" s="1778"/>
      <c r="I210" s="1778"/>
      <c r="J210" s="1778"/>
      <c r="K210" s="1778"/>
      <c r="L210" s="1778"/>
      <c r="M210" s="1778"/>
      <c r="N210" s="1106"/>
    </row>
    <row r="211" spans="1:16">
      <c r="A211" s="1778"/>
      <c r="B211" s="1778"/>
      <c r="C211" s="1778"/>
      <c r="D211" s="1778"/>
      <c r="E211" s="1778"/>
      <c r="F211" s="1778"/>
      <c r="G211" s="1778"/>
      <c r="H211" s="1778"/>
      <c r="I211" s="1778"/>
      <c r="J211" s="1778"/>
      <c r="K211" s="1778"/>
      <c r="L211" s="1778"/>
      <c r="M211" s="1778"/>
      <c r="N211" s="2016"/>
      <c r="O211" s="2017"/>
      <c r="P211" s="114"/>
    </row>
    <row r="212" spans="1:16" s="999" customFormat="1">
      <c r="A212" s="1778"/>
      <c r="B212" s="1778"/>
      <c r="C212" s="1778"/>
      <c r="D212" s="1778"/>
      <c r="E212" s="1778"/>
      <c r="F212" s="1778"/>
      <c r="G212" s="1778"/>
      <c r="H212" s="1778"/>
      <c r="I212" s="1778"/>
      <c r="J212" s="1778"/>
      <c r="K212" s="1778"/>
      <c r="L212" s="1778"/>
      <c r="M212" s="1778"/>
      <c r="N212" s="1205"/>
      <c r="O212" s="1005"/>
      <c r="P212" s="114"/>
    </row>
    <row r="213" spans="1:16">
      <c r="A213" s="1778"/>
      <c r="B213" s="1778"/>
      <c r="C213" s="1778"/>
      <c r="D213" s="1778"/>
      <c r="E213" s="1778"/>
      <c r="F213" s="1778"/>
      <c r="G213" s="1778"/>
      <c r="H213" s="1778"/>
      <c r="I213" s="1778"/>
      <c r="J213" s="1778"/>
      <c r="K213" s="1778"/>
      <c r="L213" s="1778"/>
      <c r="M213" s="1778"/>
      <c r="N213" s="2016"/>
      <c r="O213" s="2017"/>
      <c r="P213" s="114"/>
    </row>
    <row r="214" spans="1:16">
      <c r="A214" s="1778"/>
      <c r="B214" s="1778"/>
      <c r="C214" s="1778"/>
      <c r="D214" s="1778"/>
      <c r="E214" s="1778"/>
      <c r="F214" s="1778"/>
      <c r="G214" s="1778"/>
      <c r="H214" s="1778"/>
      <c r="I214" s="1778"/>
      <c r="J214" s="1778"/>
      <c r="K214" s="1778"/>
      <c r="L214" s="1778"/>
      <c r="M214" s="1778"/>
      <c r="N214" s="2016"/>
      <c r="O214" s="2017"/>
      <c r="P214" s="114"/>
    </row>
    <row r="215" spans="1:16">
      <c r="A215" s="1778"/>
      <c r="B215" s="1778"/>
      <c r="C215" s="1778"/>
      <c r="D215" s="1778"/>
      <c r="E215" s="1778"/>
      <c r="F215" s="1778"/>
      <c r="G215" s="1778"/>
      <c r="H215" s="1778"/>
      <c r="I215" s="1778"/>
      <c r="J215" s="1778"/>
      <c r="K215" s="1778"/>
      <c r="L215" s="1778"/>
      <c r="M215" s="1778"/>
      <c r="N215" s="1205"/>
      <c r="O215" s="1005"/>
      <c r="P215" s="114"/>
    </row>
    <row r="216" spans="1:16">
      <c r="A216" s="1778"/>
      <c r="B216" s="1778"/>
      <c r="C216" s="1778"/>
      <c r="D216" s="1778"/>
      <c r="E216" s="1778"/>
      <c r="F216" s="1778"/>
      <c r="G216" s="1778"/>
      <c r="H216" s="1778"/>
      <c r="I216" s="1778"/>
      <c r="J216" s="1778"/>
      <c r="K216" s="1778"/>
      <c r="L216" s="1778"/>
      <c r="M216" s="1778"/>
      <c r="N216" s="1110"/>
      <c r="O216" s="1003"/>
      <c r="P216" s="114"/>
    </row>
    <row r="217" spans="1:16" customFormat="1" ht="21" customHeight="1">
      <c r="A217" s="1778"/>
      <c r="B217" s="1778"/>
      <c r="C217" s="1778"/>
      <c r="D217" s="1778"/>
      <c r="E217" s="1778"/>
      <c r="F217" s="1778"/>
      <c r="G217" s="1778"/>
      <c r="H217" s="1778"/>
      <c r="I217" s="1778"/>
      <c r="J217" s="1778"/>
      <c r="K217" s="1778"/>
      <c r="L217" s="1778"/>
      <c r="M217" s="1778"/>
    </row>
    <row r="218" spans="1:16" customFormat="1" ht="21" customHeight="1">
      <c r="A218" s="1778"/>
      <c r="B218" s="1778"/>
      <c r="C218" s="1778"/>
      <c r="D218" s="1778"/>
      <c r="E218" s="1778"/>
      <c r="F218" s="1778"/>
      <c r="G218" s="1778"/>
      <c r="H218" s="1778"/>
      <c r="I218" s="1778"/>
      <c r="J218" s="1778"/>
      <c r="K218" s="1778"/>
      <c r="L218" s="1778"/>
      <c r="M218" s="1778"/>
    </row>
    <row r="219" spans="1:16" ht="21" customHeight="1">
      <c r="A219" s="1778"/>
      <c r="B219" s="1778"/>
      <c r="C219" s="1778"/>
      <c r="D219" s="1778"/>
      <c r="E219" s="1778"/>
      <c r="F219" s="1778"/>
      <c r="G219" s="1778"/>
      <c r="H219" s="1778"/>
      <c r="I219" s="1778"/>
      <c r="J219" s="1778"/>
      <c r="K219" s="1778"/>
      <c r="L219" s="1778"/>
      <c r="M219" s="1778"/>
    </row>
    <row r="220" spans="1:16" customFormat="1" ht="21" customHeight="1">
      <c r="A220" s="1778"/>
      <c r="B220" s="1778"/>
      <c r="C220" s="1778"/>
      <c r="D220" s="1778"/>
      <c r="E220" s="1778"/>
      <c r="F220" s="1778"/>
      <c r="G220" s="1778"/>
      <c r="H220" s="1778"/>
      <c r="I220" s="1778"/>
      <c r="J220" s="1778"/>
      <c r="K220" s="1778"/>
      <c r="L220" s="1778"/>
      <c r="M220" s="1778"/>
    </row>
    <row r="221" spans="1:16" customFormat="1" ht="21" customHeight="1">
      <c r="A221" s="1778"/>
      <c r="B221" s="1778"/>
      <c r="C221" s="1778"/>
      <c r="D221" s="1778"/>
      <c r="E221" s="1778"/>
      <c r="F221" s="1778"/>
      <c r="G221" s="1778"/>
      <c r="H221" s="1778"/>
      <c r="I221" s="1778"/>
      <c r="J221" s="1778"/>
      <c r="K221" s="1778"/>
      <c r="L221" s="1778"/>
      <c r="M221" s="1778"/>
      <c r="N221" s="1206"/>
    </row>
    <row r="222" spans="1:16" customFormat="1" ht="21" customHeight="1">
      <c r="A222" s="1778"/>
      <c r="B222" s="1778"/>
      <c r="C222" s="1778"/>
      <c r="D222" s="1778"/>
      <c r="E222" s="1778"/>
      <c r="F222" s="1778"/>
      <c r="G222" s="1778"/>
      <c r="H222" s="1778"/>
      <c r="I222" s="1778"/>
      <c r="J222" s="1778"/>
      <c r="K222" s="1778"/>
      <c r="L222" s="1778"/>
      <c r="M222" s="1778"/>
      <c r="N222" s="1206"/>
    </row>
    <row r="223" spans="1:16" s="997" customFormat="1" ht="21" customHeight="1">
      <c r="A223" s="1778"/>
      <c r="B223" s="1778"/>
      <c r="C223" s="1778"/>
      <c r="D223" s="1778"/>
      <c r="E223" s="1778"/>
      <c r="F223" s="1778"/>
      <c r="G223" s="1778"/>
      <c r="H223" s="1778"/>
      <c r="I223" s="1778"/>
      <c r="J223" s="1778"/>
      <c r="K223" s="1778"/>
      <c r="L223" s="1778"/>
      <c r="M223" s="1778"/>
    </row>
    <row r="224" spans="1:16" s="997" customFormat="1" ht="21" customHeight="1">
      <c r="A224" s="1778"/>
      <c r="B224" s="1778"/>
      <c r="C224" s="1778"/>
      <c r="D224" s="1778"/>
      <c r="E224" s="1778"/>
      <c r="F224" s="1778"/>
      <c r="G224" s="1778"/>
      <c r="H224" s="1778"/>
      <c r="I224" s="1778"/>
      <c r="J224" s="1778"/>
      <c r="K224" s="1778"/>
      <c r="L224" s="1778"/>
      <c r="M224" s="1778"/>
    </row>
    <row r="225" spans="1:14" ht="21" customHeight="1">
      <c r="A225" s="1778"/>
      <c r="B225" s="1778"/>
      <c r="C225" s="1778"/>
      <c r="D225" s="1778"/>
      <c r="E225" s="1778"/>
      <c r="F225" s="1778"/>
      <c r="G225" s="1778"/>
      <c r="H225" s="1778"/>
      <c r="I225" s="1778"/>
      <c r="J225" s="1778"/>
      <c r="K225" s="1778"/>
      <c r="L225" s="1778"/>
      <c r="M225" s="1778"/>
    </row>
    <row r="226" spans="1:14" ht="21" customHeight="1">
      <c r="A226" s="1778"/>
      <c r="B226" s="1778"/>
      <c r="C226" s="1778"/>
      <c r="D226" s="1778"/>
      <c r="E226" s="1778"/>
      <c r="F226" s="1778"/>
      <c r="G226" s="1778"/>
      <c r="H226" s="1778"/>
      <c r="I226" s="1778"/>
      <c r="J226" s="1778"/>
      <c r="K226" s="1778"/>
      <c r="L226" s="1778"/>
      <c r="M226" s="1778"/>
    </row>
    <row r="227" spans="1:14" s="997" customFormat="1" ht="21" customHeight="1">
      <c r="A227" s="1778"/>
      <c r="B227" s="1778"/>
      <c r="C227" s="1778"/>
      <c r="D227" s="1778"/>
      <c r="E227" s="1778"/>
      <c r="F227" s="1778"/>
      <c r="G227" s="1778"/>
      <c r="H227" s="1778"/>
      <c r="I227" s="1778"/>
      <c r="J227" s="1778"/>
      <c r="K227" s="1778"/>
      <c r="L227" s="1778"/>
      <c r="M227" s="1778"/>
      <c r="N227" s="1106"/>
    </row>
    <row r="228" spans="1:14" s="997" customFormat="1" ht="21" customHeight="1">
      <c r="A228" s="1778"/>
      <c r="B228" s="1778"/>
      <c r="C228" s="1778"/>
      <c r="D228" s="1778"/>
      <c r="E228" s="1778"/>
      <c r="F228" s="1778"/>
      <c r="G228" s="1778"/>
      <c r="H228" s="1778"/>
      <c r="I228" s="1778"/>
      <c r="J228" s="1778"/>
      <c r="K228" s="1778"/>
      <c r="L228" s="1778"/>
      <c r="M228" s="1778"/>
      <c r="N228" s="1106"/>
    </row>
    <row r="229" spans="1:14" s="997" customFormat="1" ht="21" customHeight="1">
      <c r="A229" s="1778"/>
      <c r="B229" s="1778"/>
      <c r="C229" s="1778"/>
      <c r="D229" s="1778"/>
      <c r="E229" s="1778"/>
      <c r="F229" s="1778"/>
      <c r="G229" s="1778"/>
      <c r="H229" s="1778"/>
      <c r="I229" s="1778"/>
      <c r="J229" s="1778"/>
      <c r="K229" s="1778"/>
      <c r="L229" s="1778"/>
      <c r="M229" s="1778"/>
      <c r="N229" s="1106"/>
    </row>
    <row r="230" spans="1:14" s="997" customFormat="1" ht="21" customHeight="1">
      <c r="A230" s="1778"/>
      <c r="B230" s="1778"/>
      <c r="C230" s="1778"/>
      <c r="D230" s="1778"/>
      <c r="E230" s="1778"/>
      <c r="F230" s="1778"/>
      <c r="G230" s="1778"/>
      <c r="H230" s="1778"/>
      <c r="I230" s="1778"/>
      <c r="J230" s="1778"/>
      <c r="K230" s="1778"/>
      <c r="L230" s="1778"/>
      <c r="M230" s="1778"/>
      <c r="N230" s="1106"/>
    </row>
    <row r="231" spans="1:14" s="997" customFormat="1" ht="21" customHeight="1">
      <c r="A231" s="1778"/>
      <c r="B231" s="1778"/>
      <c r="C231" s="1778"/>
      <c r="D231" s="1778"/>
      <c r="E231" s="1778"/>
      <c r="F231" s="1778"/>
      <c r="G231" s="1778"/>
      <c r="H231" s="1778"/>
      <c r="I231" s="1778"/>
      <c r="J231" s="1778"/>
      <c r="K231" s="1778"/>
      <c r="L231" s="1778"/>
      <c r="M231" s="1778"/>
      <c r="N231" s="1106"/>
    </row>
    <row r="232" spans="1:14" s="997" customFormat="1" ht="21" customHeight="1">
      <c r="A232" s="1778"/>
      <c r="B232" s="1778"/>
      <c r="C232" s="1778"/>
      <c r="D232" s="1778"/>
      <c r="E232" s="1778"/>
      <c r="F232" s="1778"/>
      <c r="G232" s="1778"/>
      <c r="H232" s="1778"/>
      <c r="I232" s="1778"/>
      <c r="J232" s="1778"/>
      <c r="K232" s="1778"/>
      <c r="L232" s="1778"/>
      <c r="M232" s="1778"/>
      <c r="N232" s="1106"/>
    </row>
    <row r="233" spans="1:14" s="997" customFormat="1" ht="21" customHeight="1">
      <c r="A233" s="1778"/>
      <c r="B233" s="1778"/>
      <c r="C233" s="1778"/>
      <c r="D233" s="1778"/>
      <c r="E233" s="1778"/>
      <c r="F233" s="1778"/>
      <c r="G233" s="1778"/>
      <c r="H233" s="1778"/>
      <c r="I233" s="1778"/>
      <c r="J233" s="1778"/>
      <c r="K233" s="1778"/>
      <c r="L233" s="1778"/>
      <c r="M233" s="1778"/>
      <c r="N233" s="1106"/>
    </row>
    <row r="234" spans="1:14" ht="25.95" customHeight="1">
      <c r="A234" s="1778"/>
      <c r="B234" s="1778"/>
      <c r="C234" s="1778"/>
      <c r="D234" s="1778"/>
      <c r="E234" s="1778"/>
      <c r="F234" s="1778"/>
      <c r="G234" s="1778"/>
      <c r="H234" s="1778"/>
      <c r="I234" s="1778"/>
      <c r="J234" s="1778"/>
      <c r="K234" s="1778"/>
      <c r="L234" s="1778"/>
      <c r="M234" s="1778"/>
    </row>
    <row r="235" spans="1:14">
      <c r="A235" s="1778"/>
      <c r="B235" s="1778"/>
      <c r="C235" s="1778"/>
      <c r="D235" s="1778"/>
      <c r="E235" s="1778"/>
      <c r="F235" s="1778"/>
      <c r="G235" s="1778"/>
      <c r="H235" s="1778"/>
      <c r="I235" s="1778"/>
      <c r="J235" s="1778"/>
      <c r="K235" s="1778"/>
      <c r="L235" s="1778"/>
      <c r="M235" s="1778"/>
    </row>
    <row r="236" spans="1:14">
      <c r="A236" s="1778"/>
      <c r="B236" s="1778"/>
      <c r="C236" s="1778"/>
      <c r="D236" s="1778"/>
      <c r="E236" s="1778"/>
      <c r="F236" s="1778"/>
      <c r="G236" s="1778"/>
      <c r="H236" s="1778"/>
      <c r="I236" s="1778"/>
      <c r="J236" s="1778"/>
      <c r="K236" s="1778"/>
      <c r="L236" s="1778"/>
      <c r="M236" s="1778"/>
    </row>
    <row r="237" spans="1:14" s="997" customFormat="1" ht="21" customHeight="1">
      <c r="A237" s="1778"/>
      <c r="B237" s="1778"/>
      <c r="C237" s="1778"/>
      <c r="D237" s="1778"/>
      <c r="E237" s="1778"/>
      <c r="F237" s="1778"/>
      <c r="G237" s="1778"/>
      <c r="H237" s="1778"/>
      <c r="I237" s="1778"/>
      <c r="J237" s="1778"/>
      <c r="K237" s="1778"/>
      <c r="L237" s="1778"/>
      <c r="M237" s="1778"/>
      <c r="N237" s="1106"/>
    </row>
    <row r="238" spans="1:14" s="997" customFormat="1" ht="21" customHeight="1">
      <c r="A238" s="1778"/>
      <c r="B238" s="1778"/>
      <c r="C238" s="1778"/>
      <c r="D238" s="1778"/>
      <c r="E238" s="1778"/>
      <c r="F238" s="1778"/>
      <c r="G238" s="1778"/>
      <c r="H238" s="1778"/>
      <c r="I238" s="1778"/>
      <c r="J238" s="1778"/>
      <c r="K238" s="1778"/>
      <c r="L238" s="1778"/>
      <c r="M238" s="1778"/>
      <c r="N238" s="1106"/>
    </row>
    <row r="239" spans="1:14" s="997" customFormat="1" ht="21" customHeight="1">
      <c r="A239" s="1778"/>
      <c r="B239" s="1778"/>
      <c r="C239" s="1778"/>
      <c r="D239" s="1778"/>
      <c r="E239" s="1778"/>
      <c r="F239" s="1778"/>
      <c r="G239" s="1778"/>
      <c r="H239" s="1778"/>
      <c r="I239" s="1778"/>
      <c r="J239" s="1778"/>
      <c r="K239" s="1778"/>
      <c r="L239" s="1778"/>
      <c r="M239" s="1778"/>
      <c r="N239" s="1106"/>
    </row>
    <row r="240" spans="1:14" s="997" customFormat="1" ht="21" customHeight="1">
      <c r="A240" s="1778"/>
      <c r="B240" s="1778"/>
      <c r="C240" s="1778"/>
      <c r="D240" s="1778"/>
      <c r="E240" s="1778"/>
      <c r="F240" s="1778"/>
      <c r="G240" s="1778"/>
      <c r="H240" s="1778"/>
      <c r="I240" s="1778"/>
      <c r="J240" s="1778"/>
      <c r="K240" s="1778"/>
      <c r="L240" s="1778"/>
      <c r="M240" s="1778"/>
      <c r="N240" s="1106"/>
    </row>
    <row r="241" spans="1:14" s="997" customFormat="1" ht="21" customHeight="1">
      <c r="A241" s="1778"/>
      <c r="B241" s="1778"/>
      <c r="C241" s="1778"/>
      <c r="D241" s="1778"/>
      <c r="E241" s="1778"/>
      <c r="F241" s="1778"/>
      <c r="G241" s="1778"/>
      <c r="H241" s="1778"/>
      <c r="I241" s="1778"/>
      <c r="J241" s="1778"/>
      <c r="K241" s="1778"/>
      <c r="L241" s="1778"/>
      <c r="M241" s="1778"/>
      <c r="N241" s="1106"/>
    </row>
    <row r="242" spans="1:14" s="997" customFormat="1" ht="21" customHeight="1">
      <c r="A242" s="1778"/>
      <c r="B242" s="1778"/>
      <c r="C242" s="1778"/>
      <c r="D242" s="1778"/>
      <c r="E242" s="1778"/>
      <c r="F242" s="1778"/>
      <c r="G242" s="1778"/>
      <c r="H242" s="1778"/>
      <c r="I242" s="1778"/>
      <c r="J242" s="1778"/>
      <c r="K242" s="1778"/>
      <c r="L242" s="1778"/>
      <c r="M242" s="1778"/>
      <c r="N242" s="1106"/>
    </row>
    <row r="243" spans="1:14">
      <c r="A243" s="1778"/>
      <c r="B243" s="1778"/>
      <c r="C243" s="1778"/>
      <c r="D243" s="1778"/>
      <c r="E243" s="1778"/>
      <c r="F243" s="1778"/>
      <c r="G243" s="1778"/>
      <c r="H243" s="1778"/>
      <c r="I243" s="1778"/>
      <c r="J243" s="1778"/>
      <c r="K243" s="1778"/>
      <c r="L243" s="1778"/>
      <c r="M243" s="1778"/>
      <c r="N243" s="722">
        <f>'ปร6 (อาร์ม)'!G17</f>
        <v>522000</v>
      </c>
    </row>
    <row r="244" spans="1:14">
      <c r="A244" s="1778"/>
      <c r="B244" s="1778"/>
      <c r="C244" s="1778"/>
      <c r="D244" s="1778"/>
      <c r="E244" s="1778"/>
      <c r="F244" s="1778"/>
      <c r="G244" s="1778"/>
      <c r="H244" s="1778"/>
      <c r="I244" s="1778"/>
      <c r="J244" s="1778"/>
      <c r="K244" s="1778"/>
      <c r="L244" s="1778"/>
      <c r="M244" s="1778"/>
      <c r="N244" s="591"/>
    </row>
    <row r="245" spans="1:14">
      <c r="A245" s="1778"/>
      <c r="B245" s="1778"/>
      <c r="C245" s="1778"/>
      <c r="D245" s="1778"/>
      <c r="E245" s="1778"/>
      <c r="F245" s="1778"/>
      <c r="G245" s="1778"/>
      <c r="H245" s="1778"/>
      <c r="I245" s="1778"/>
      <c r="J245" s="1778"/>
      <c r="K245" s="1778"/>
      <c r="L245" s="1778"/>
      <c r="M245" s="1778"/>
    </row>
    <row r="246" spans="1:14">
      <c r="A246" s="1778"/>
      <c r="B246" s="1778"/>
      <c r="C246" s="1778"/>
      <c r="D246" s="1778"/>
      <c r="E246" s="1778"/>
      <c r="F246" s="1778"/>
      <c r="G246" s="1778"/>
      <c r="H246" s="1778"/>
      <c r="I246" s="1778"/>
      <c r="J246" s="1778"/>
      <c r="K246" s="1778"/>
      <c r="L246" s="1778"/>
      <c r="M246" s="1778"/>
    </row>
    <row r="247" spans="1:14">
      <c r="A247" s="1778"/>
      <c r="B247" s="1778"/>
      <c r="C247" s="1778"/>
      <c r="D247" s="1778"/>
      <c r="E247" s="1778"/>
      <c r="F247" s="1778"/>
      <c r="G247" s="1778"/>
      <c r="H247" s="1778"/>
      <c r="I247" s="1778"/>
      <c r="J247" s="1778"/>
      <c r="K247" s="1778"/>
      <c r="L247" s="1778"/>
      <c r="M247" s="1778"/>
    </row>
    <row r="248" spans="1:14">
      <c r="A248" s="1778"/>
      <c r="B248" s="1778"/>
      <c r="C248" s="1778"/>
      <c r="D248" s="1778"/>
      <c r="E248" s="1778"/>
      <c r="F248" s="1778"/>
      <c r="G248" s="1778"/>
      <c r="H248" s="1778"/>
      <c r="I248" s="1778"/>
      <c r="J248" s="1778"/>
      <c r="K248" s="1778"/>
      <c r="L248" s="1778"/>
      <c r="M248" s="1778"/>
    </row>
    <row r="249" spans="1:14">
      <c r="A249" s="1778"/>
      <c r="B249" s="1778"/>
      <c r="C249" s="1778"/>
      <c r="D249" s="1778"/>
      <c r="E249" s="1778"/>
      <c r="F249" s="1778"/>
      <c r="G249" s="1778"/>
      <c r="H249" s="1778"/>
      <c r="I249" s="1778"/>
      <c r="J249" s="1778"/>
      <c r="K249" s="1778"/>
      <c r="L249" s="1778"/>
      <c r="M249" s="1778"/>
    </row>
    <row r="250" spans="1:14">
      <c r="A250" s="1778"/>
      <c r="B250" s="1778"/>
      <c r="C250" s="1778"/>
      <c r="D250" s="1778"/>
      <c r="E250" s="1778"/>
      <c r="F250" s="1778"/>
      <c r="G250" s="1778"/>
      <c r="H250" s="1778"/>
      <c r="I250" s="1778"/>
      <c r="J250" s="1778"/>
      <c r="K250" s="1778"/>
      <c r="L250" s="1778"/>
      <c r="M250" s="1778"/>
    </row>
    <row r="251" spans="1:14">
      <c r="A251" s="1778"/>
      <c r="B251" s="1778"/>
      <c r="C251" s="1778"/>
      <c r="D251" s="1778"/>
      <c r="E251" s="1778"/>
      <c r="F251" s="1778"/>
      <c r="G251" s="1778"/>
      <c r="H251" s="1778"/>
      <c r="I251" s="1778"/>
      <c r="J251" s="1778"/>
      <c r="K251" s="1778"/>
      <c r="L251" s="1778"/>
      <c r="M251" s="1778"/>
    </row>
    <row r="252" spans="1:14">
      <c r="A252" s="1778"/>
      <c r="B252" s="1778"/>
      <c r="C252" s="1778"/>
      <c r="D252" s="1778"/>
      <c r="E252" s="1778"/>
      <c r="F252" s="1778"/>
      <c r="G252" s="1778"/>
      <c r="H252" s="1778"/>
      <c r="I252" s="1778"/>
      <c r="J252" s="1778"/>
      <c r="K252" s="1778"/>
      <c r="L252" s="1778"/>
      <c r="M252" s="1778"/>
    </row>
    <row r="253" spans="1:14">
      <c r="A253" s="1778"/>
      <c r="B253" s="1778"/>
      <c r="C253" s="1778"/>
      <c r="D253" s="1778"/>
      <c r="E253" s="1778"/>
      <c r="F253" s="1778"/>
      <c r="G253" s="1778"/>
      <c r="H253" s="1778"/>
      <c r="I253" s="1778"/>
      <c r="J253" s="1778"/>
      <c r="K253" s="1778"/>
      <c r="L253" s="1778"/>
      <c r="M253" s="1778"/>
    </row>
    <row r="254" spans="1:14">
      <c r="A254" s="1778"/>
      <c r="B254" s="1778"/>
      <c r="C254" s="1778"/>
      <c r="D254" s="1778"/>
      <c r="E254" s="1778"/>
      <c r="F254" s="1778"/>
      <c r="G254" s="1778"/>
      <c r="H254" s="1778"/>
      <c r="I254" s="1778"/>
      <c r="J254" s="1778"/>
      <c r="K254" s="1778"/>
      <c r="L254" s="1778"/>
      <c r="M254" s="1778"/>
    </row>
    <row r="255" spans="1:14">
      <c r="A255" s="1778"/>
      <c r="B255" s="1778"/>
      <c r="C255" s="1778"/>
      <c r="D255" s="1778"/>
      <c r="E255" s="1778"/>
      <c r="F255" s="1778"/>
      <c r="G255" s="1778"/>
      <c r="H255" s="1778"/>
      <c r="I255" s="1778"/>
      <c r="J255" s="1778"/>
      <c r="K255" s="1778"/>
      <c r="L255" s="1778"/>
      <c r="M255" s="1778"/>
    </row>
    <row r="256" spans="1:14">
      <c r="A256" s="1778"/>
      <c r="B256" s="1778"/>
      <c r="C256" s="1778"/>
      <c r="D256" s="1778"/>
      <c r="E256" s="1778"/>
      <c r="F256" s="1778"/>
      <c r="G256" s="1778"/>
      <c r="H256" s="1778"/>
      <c r="I256" s="1778"/>
      <c r="J256" s="1778"/>
      <c r="K256" s="1778"/>
      <c r="L256" s="1778"/>
      <c r="M256" s="1778"/>
    </row>
    <row r="257" spans="1:17">
      <c r="A257" s="1778"/>
      <c r="B257" s="1778"/>
      <c r="C257" s="1778"/>
      <c r="D257" s="1778"/>
      <c r="E257" s="1778"/>
      <c r="F257" s="1778"/>
      <c r="G257" s="1778"/>
      <c r="H257" s="1778"/>
      <c r="I257" s="1778"/>
      <c r="J257" s="1778"/>
      <c r="K257" s="1778"/>
      <c r="L257" s="1778"/>
      <c r="M257" s="1778"/>
    </row>
    <row r="258" spans="1:17">
      <c r="A258" s="1778"/>
      <c r="B258" s="1778"/>
      <c r="C258" s="1778"/>
      <c r="D258" s="1778"/>
      <c r="E258" s="1778"/>
      <c r="F258" s="1778"/>
      <c r="G258" s="1778"/>
      <c r="H258" s="1778"/>
      <c r="I258" s="1778"/>
      <c r="J258" s="1778"/>
      <c r="K258" s="1778"/>
      <c r="L258" s="1778"/>
      <c r="M258" s="1778"/>
    </row>
    <row r="259" spans="1:17">
      <c r="A259" s="1778"/>
      <c r="B259" s="1778"/>
      <c r="C259" s="1778"/>
      <c r="D259" s="1778"/>
      <c r="E259" s="1778"/>
      <c r="F259" s="1778"/>
      <c r="G259" s="1778"/>
      <c r="H259" s="1778"/>
      <c r="I259" s="1778"/>
      <c r="J259" s="1778"/>
      <c r="K259" s="1778"/>
      <c r="L259" s="1778"/>
      <c r="M259" s="1778"/>
    </row>
    <row r="260" spans="1:17">
      <c r="A260" s="1778"/>
      <c r="B260" s="1778"/>
      <c r="C260" s="1778"/>
      <c r="D260" s="1778"/>
      <c r="E260" s="1778"/>
      <c r="F260" s="1778"/>
      <c r="G260" s="1778"/>
      <c r="H260" s="1778"/>
      <c r="I260" s="1778"/>
      <c r="J260" s="1778"/>
      <c r="K260" s="1778"/>
      <c r="L260" s="1778"/>
      <c r="M260" s="1778"/>
    </row>
    <row r="261" spans="1:17">
      <c r="A261" s="1778"/>
      <c r="B261" s="1778"/>
      <c r="C261" s="1778"/>
      <c r="D261" s="1778"/>
      <c r="E261" s="1778"/>
      <c r="F261" s="1778"/>
      <c r="G261" s="1778"/>
      <c r="H261" s="1778"/>
      <c r="I261" s="1778"/>
      <c r="J261" s="1778"/>
      <c r="K261" s="1778"/>
      <c r="L261" s="1778"/>
      <c r="M261" s="1778"/>
      <c r="O261" s="336" t="s">
        <v>465</v>
      </c>
      <c r="P261" s="336" t="s">
        <v>466</v>
      </c>
    </row>
    <row r="262" spans="1:17">
      <c r="A262" s="1778"/>
      <c r="B262" s="1778"/>
      <c r="C262" s="1778"/>
      <c r="D262" s="1778"/>
      <c r="E262" s="1778"/>
      <c r="F262" s="1778"/>
      <c r="G262" s="1778"/>
      <c r="H262" s="1778"/>
      <c r="I262" s="1778"/>
      <c r="J262" s="1778"/>
      <c r="K262" s="1778"/>
      <c r="L262" s="1778"/>
      <c r="M262" s="1778"/>
      <c r="O262" s="691">
        <v>42</v>
      </c>
      <c r="P262" s="691">
        <f t="shared" ref="P262:P269" si="17">F262*O262</f>
        <v>0</v>
      </c>
      <c r="Q262" s="691"/>
    </row>
    <row r="263" spans="1:17">
      <c r="A263" s="1778"/>
      <c r="B263" s="1778"/>
      <c r="C263" s="1778"/>
      <c r="D263" s="1778"/>
      <c r="E263" s="1778"/>
      <c r="F263" s="1778"/>
      <c r="G263" s="1778"/>
      <c r="H263" s="1778"/>
      <c r="I263" s="1778"/>
      <c r="J263" s="1778"/>
      <c r="K263" s="1778"/>
      <c r="L263" s="1778"/>
      <c r="M263" s="1778"/>
      <c r="O263" s="691">
        <v>31</v>
      </c>
      <c r="P263" s="691">
        <f t="shared" si="17"/>
        <v>0</v>
      </c>
      <c r="Q263" s="691"/>
    </row>
    <row r="264" spans="1:17">
      <c r="A264" s="1778"/>
      <c r="B264" s="1778"/>
      <c r="C264" s="1778"/>
      <c r="D264" s="1778"/>
      <c r="E264" s="1778"/>
      <c r="F264" s="1778"/>
      <c r="G264" s="1778"/>
      <c r="H264" s="1778"/>
      <c r="I264" s="1778"/>
      <c r="J264" s="1778"/>
      <c r="K264" s="1778"/>
      <c r="L264" s="1778"/>
      <c r="M264" s="1778"/>
      <c r="O264" s="691">
        <v>30</v>
      </c>
      <c r="P264" s="691">
        <f t="shared" si="17"/>
        <v>0</v>
      </c>
      <c r="Q264" s="691"/>
    </row>
    <row r="265" spans="1:17">
      <c r="A265" s="1778"/>
      <c r="B265" s="1778"/>
      <c r="C265" s="1778"/>
      <c r="D265" s="1778"/>
      <c r="E265" s="1778"/>
      <c r="F265" s="1778"/>
      <c r="G265" s="1778"/>
      <c r="H265" s="1778"/>
      <c r="I265" s="1778"/>
      <c r="J265" s="1778"/>
      <c r="K265" s="1778"/>
      <c r="L265" s="1778"/>
      <c r="M265" s="1778"/>
      <c r="O265" s="691">
        <v>25</v>
      </c>
      <c r="P265" s="691">
        <f t="shared" si="17"/>
        <v>0</v>
      </c>
      <c r="Q265" s="691"/>
    </row>
    <row r="266" spans="1:17">
      <c r="A266" s="1778"/>
      <c r="B266" s="1778"/>
      <c r="C266" s="1778"/>
      <c r="D266" s="1778"/>
      <c r="E266" s="1778"/>
      <c r="F266" s="1778"/>
      <c r="G266" s="1778"/>
      <c r="H266" s="1778"/>
      <c r="I266" s="1778"/>
      <c r="J266" s="1778"/>
      <c r="K266" s="1778"/>
      <c r="L266" s="1778"/>
      <c r="M266" s="1778"/>
      <c r="O266" s="691">
        <v>25</v>
      </c>
      <c r="P266" s="691">
        <f t="shared" si="17"/>
        <v>0</v>
      </c>
      <c r="Q266" s="691"/>
    </row>
    <row r="267" spans="1:17">
      <c r="A267" s="1778"/>
      <c r="B267" s="1778"/>
      <c r="C267" s="1778"/>
      <c r="D267" s="1778"/>
      <c r="E267" s="1778"/>
      <c r="F267" s="1778"/>
      <c r="G267" s="1778"/>
      <c r="H267" s="1778"/>
      <c r="I267" s="1778"/>
      <c r="J267" s="1778"/>
      <c r="K267" s="1778"/>
      <c r="L267" s="1778"/>
      <c r="M267" s="1778"/>
      <c r="O267" s="691">
        <v>33</v>
      </c>
      <c r="P267" s="691">
        <f t="shared" si="17"/>
        <v>0</v>
      </c>
      <c r="Q267" s="691"/>
    </row>
    <row r="268" spans="1:17">
      <c r="A268" s="1778"/>
      <c r="B268" s="1778"/>
      <c r="C268" s="1778"/>
      <c r="D268" s="1778"/>
      <c r="E268" s="1778"/>
      <c r="F268" s="1778"/>
      <c r="G268" s="1778"/>
      <c r="H268" s="1778"/>
      <c r="I268" s="1778"/>
      <c r="J268" s="1778"/>
      <c r="K268" s="1778"/>
      <c r="L268" s="1778"/>
      <c r="M268" s="1778"/>
      <c r="O268" s="691">
        <v>24.36</v>
      </c>
      <c r="P268" s="691">
        <f t="shared" si="17"/>
        <v>0</v>
      </c>
      <c r="Q268" s="691"/>
    </row>
    <row r="269" spans="1:17">
      <c r="A269" s="1778"/>
      <c r="B269" s="1778"/>
      <c r="C269" s="1778"/>
      <c r="D269" s="1778"/>
      <c r="E269" s="1778"/>
      <c r="F269" s="1778"/>
      <c r="G269" s="1778"/>
      <c r="H269" s="1778"/>
      <c r="I269" s="1778"/>
      <c r="J269" s="1778"/>
      <c r="K269" s="1778"/>
      <c r="L269" s="1778"/>
      <c r="M269" s="1778"/>
      <c r="O269" s="691">
        <v>19.5</v>
      </c>
      <c r="P269" s="691">
        <f t="shared" si="17"/>
        <v>0</v>
      </c>
      <c r="Q269" s="691"/>
    </row>
    <row r="270" spans="1:17">
      <c r="A270" s="1778"/>
      <c r="B270" s="1778"/>
      <c r="C270" s="1778"/>
      <c r="D270" s="1778"/>
      <c r="E270" s="1778"/>
      <c r="F270" s="1778"/>
      <c r="G270" s="1778"/>
      <c r="H270" s="1778"/>
      <c r="I270" s="1778"/>
      <c r="J270" s="1778"/>
      <c r="K270" s="1778"/>
      <c r="L270" s="1778"/>
      <c r="M270" s="1778"/>
      <c r="O270" s="691" t="s">
        <v>109</v>
      </c>
      <c r="P270" s="691">
        <f>SUM(P262:P269)</f>
        <v>0</v>
      </c>
      <c r="Q270" s="691"/>
    </row>
    <row r="271" spans="1:17">
      <c r="A271" s="1778"/>
      <c r="B271" s="1778"/>
      <c r="C271" s="1778"/>
      <c r="D271" s="1778"/>
      <c r="E271" s="1778"/>
      <c r="F271" s="1778"/>
      <c r="G271" s="1778"/>
      <c r="H271" s="1778"/>
      <c r="I271" s="1778"/>
      <c r="J271" s="1778"/>
      <c r="K271" s="1778"/>
      <c r="L271" s="1778"/>
      <c r="M271" s="1778"/>
      <c r="O271" s="691"/>
      <c r="P271" s="691"/>
      <c r="Q271" s="691"/>
    </row>
    <row r="272" spans="1:17">
      <c r="A272" s="1778"/>
      <c r="B272" s="1778"/>
      <c r="C272" s="1778"/>
      <c r="D272" s="1778"/>
      <c r="E272" s="1778"/>
      <c r="F272" s="1778"/>
      <c r="G272" s="1778"/>
      <c r="H272" s="1778"/>
      <c r="I272" s="1778"/>
      <c r="J272" s="1778"/>
      <c r="K272" s="1778"/>
      <c r="L272" s="1778"/>
      <c r="M272" s="1778"/>
      <c r="O272" s="336" t="s">
        <v>460</v>
      </c>
    </row>
    <row r="273" spans="1:13">
      <c r="A273" s="1778"/>
      <c r="B273" s="1778"/>
      <c r="C273" s="1778"/>
      <c r="D273" s="1778"/>
      <c r="E273" s="1778"/>
      <c r="F273" s="1778"/>
      <c r="G273" s="1778"/>
      <c r="H273" s="1778"/>
      <c r="I273" s="1778"/>
      <c r="J273" s="1778"/>
      <c r="K273" s="1778"/>
      <c r="L273" s="1778"/>
      <c r="M273" s="1778"/>
    </row>
    <row r="274" spans="1:13">
      <c r="A274" s="1778"/>
      <c r="B274" s="1778"/>
      <c r="C274" s="1778"/>
      <c r="D274" s="1778"/>
      <c r="E274" s="1778"/>
      <c r="F274" s="1778"/>
      <c r="G274" s="1778"/>
      <c r="H274" s="1778"/>
      <c r="I274" s="1778"/>
      <c r="J274" s="1778"/>
      <c r="K274" s="1778"/>
      <c r="L274" s="1778"/>
      <c r="M274" s="1778"/>
    </row>
    <row r="275" spans="1:13">
      <c r="A275" s="1778"/>
      <c r="B275" s="1778"/>
      <c r="C275" s="1778"/>
      <c r="D275" s="1778"/>
      <c r="E275" s="1778"/>
      <c r="F275" s="1778"/>
      <c r="G275" s="1778"/>
      <c r="H275" s="1778"/>
      <c r="I275" s="1778"/>
      <c r="J275" s="1778"/>
      <c r="K275" s="1778"/>
      <c r="L275" s="1778"/>
      <c r="M275" s="1778"/>
    </row>
    <row r="276" spans="1:13">
      <c r="A276" s="1778"/>
      <c r="B276" s="1778"/>
      <c r="C276" s="1778"/>
      <c r="D276" s="1778"/>
      <c r="E276" s="1778"/>
      <c r="F276" s="1778"/>
      <c r="G276" s="1778"/>
      <c r="H276" s="1778"/>
      <c r="I276" s="1778"/>
      <c r="J276" s="1778"/>
      <c r="K276" s="1778"/>
      <c r="L276" s="1778"/>
      <c r="M276" s="1778"/>
    </row>
    <row r="277" spans="1:13" ht="18.75" customHeight="1">
      <c r="A277" s="1778"/>
      <c r="B277" s="1778"/>
      <c r="C277" s="1778"/>
      <c r="D277" s="1778"/>
      <c r="E277" s="1778"/>
      <c r="F277" s="1778"/>
      <c r="G277" s="1778"/>
      <c r="H277" s="1778"/>
      <c r="I277" s="1778"/>
      <c r="J277" s="1778"/>
      <c r="K277" s="1778"/>
      <c r="L277" s="1778"/>
      <c r="M277" s="1778"/>
    </row>
    <row r="278" spans="1:13" ht="18.75" customHeight="1">
      <c r="A278" s="1778"/>
      <c r="B278" s="1778"/>
      <c r="C278" s="1778"/>
      <c r="D278" s="1778"/>
      <c r="E278" s="1778"/>
      <c r="F278" s="1778"/>
      <c r="G278" s="1778"/>
      <c r="H278" s="1778"/>
      <c r="I278" s="1778"/>
      <c r="J278" s="1778"/>
      <c r="K278" s="1778"/>
      <c r="L278" s="1778"/>
      <c r="M278" s="1778"/>
    </row>
    <row r="279" spans="1:13">
      <c r="L279" s="730"/>
    </row>
  </sheetData>
  <mergeCells count="13">
    <mergeCell ref="N160:O160"/>
    <mergeCell ref="N211:O211"/>
    <mergeCell ref="N213:O213"/>
    <mergeCell ref="N214:O214"/>
    <mergeCell ref="A9:A10"/>
    <mergeCell ref="F9:F10"/>
    <mergeCell ref="G9:G10"/>
    <mergeCell ref="A1:K1"/>
    <mergeCell ref="H9:I9"/>
    <mergeCell ref="J9:K9"/>
    <mergeCell ref="N28:O28"/>
    <mergeCell ref="M9:M10"/>
    <mergeCell ref="B9:E10"/>
  </mergeCells>
  <pageMargins left="0.7" right="0.7" top="0.75" bottom="0.75" header="0.3" footer="0.3"/>
  <pageSetup paperSize="9" scale="97" fitToHeight="0" orientation="landscape" r:id="rId1"/>
  <headerFooter alignWithMargins="0"/>
  <rowBreaks count="6" manualBreakCount="6">
    <brk id="30" max="12" man="1"/>
    <brk id="54" max="12" man="1"/>
    <brk id="73" max="12" man="1"/>
    <brk id="96" max="12" man="1"/>
    <brk id="103" max="12" man="1"/>
    <brk id="232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</sheetPr>
  <dimension ref="A1:S42"/>
  <sheetViews>
    <sheetView tabSelected="1" view="pageBreakPreview" zoomScaleNormal="100" workbookViewId="0">
      <selection activeCell="A9" sqref="A9"/>
    </sheetView>
  </sheetViews>
  <sheetFormatPr defaultColWidth="8" defaultRowHeight="18"/>
  <cols>
    <col min="1" max="1" width="7.21875" style="336" customWidth="1"/>
    <col min="2" max="2" width="11.33203125" style="336" customWidth="1"/>
    <col min="3" max="3" width="17" style="336" customWidth="1"/>
    <col min="4" max="4" width="17.44140625" style="336" customWidth="1"/>
    <col min="5" max="5" width="13.5546875" style="336" customWidth="1"/>
    <col min="6" max="6" width="9.33203125" style="336" customWidth="1"/>
    <col min="7" max="7" width="11" style="336" customWidth="1"/>
    <col min="8" max="8" width="16" style="336" customWidth="1"/>
    <col min="9" max="16384" width="8" style="336"/>
  </cols>
  <sheetData>
    <row r="1" spans="1:10" ht="24" customHeight="1">
      <c r="A1" s="2028" t="s">
        <v>481</v>
      </c>
      <c r="B1" s="2028"/>
      <c r="C1" s="2028"/>
      <c r="D1" s="2028"/>
      <c r="E1" s="2028"/>
      <c r="F1" s="2028"/>
      <c r="G1" s="2028"/>
      <c r="H1" s="1791" t="s">
        <v>1094</v>
      </c>
    </row>
    <row r="2" spans="1:10" ht="3.75" customHeight="1"/>
    <row r="3" spans="1:10">
      <c r="A3" s="592" t="s">
        <v>482</v>
      </c>
      <c r="C3" s="592" t="s">
        <v>483</v>
      </c>
    </row>
    <row r="4" spans="1:10">
      <c r="A4" s="592" t="s">
        <v>484</v>
      </c>
      <c r="C4" s="592" t="str">
        <f>'ปร4 โครงสร้างหอถัง'!D3</f>
        <v xml:space="preserve">ก่อสร้างระบบประปาหมู่บ้านแบบบาดาลพร้อมหอถังสูง พร้อมเจาะบ่อบาดาล  </v>
      </c>
      <c r="G4" s="593"/>
      <c r="H4" s="592"/>
    </row>
    <row r="5" spans="1:10">
      <c r="A5" s="592"/>
      <c r="B5" s="592" t="str">
        <f>'ปร4 โครงสร้างหอถัง'!D4</f>
        <v>และติดตั้งถังไฟเบอร์กล๊าส ขนาด 2.50 ลบ.ม. จำนวน 4 ถัง พร้อมติดตั้งระบบไฟฟ้า ก่อสร้างไฟฟ้าส่องส่ว่างระบบโซล่าเซลล์จำนวน 10 ต้น</v>
      </c>
      <c r="G5" s="593"/>
      <c r="H5" s="592"/>
    </row>
    <row r="6" spans="1:10">
      <c r="A6" s="592" t="s">
        <v>406</v>
      </c>
      <c r="C6" s="592" t="str">
        <f>'ปร4 โครงสร้างหอถัง'!D5</f>
        <v>หมู่ที่ 4 บ้านโนนสมบูรณ์</v>
      </c>
    </row>
    <row r="7" spans="1:10">
      <c r="A7" s="592" t="s">
        <v>485</v>
      </c>
      <c r="C7" s="594" t="str">
        <f>'ปร4 โครงสร้างหอถัง'!D6</f>
        <v xml:space="preserve">อบต.ชด.สส. 10/2567      </v>
      </c>
      <c r="D7" s="224" t="s">
        <v>424</v>
      </c>
    </row>
    <row r="8" spans="1:10">
      <c r="A8" s="592" t="s">
        <v>486</v>
      </c>
      <c r="C8" s="592" t="str">
        <f>'ปร4 โครงสร้างหอถัง'!D7</f>
        <v>องค์การบริหารส่วนตำบลเชียงดา ตำบลเชียงดา อำเภอสร้างคอม จังหวัดอุดรธานี</v>
      </c>
      <c r="E8" s="595"/>
      <c r="F8" s="596"/>
    </row>
    <row r="9" spans="1:10">
      <c r="A9" s="592" t="s">
        <v>568</v>
      </c>
      <c r="D9" s="592"/>
    </row>
    <row r="10" spans="1:10">
      <c r="A10" s="594" t="str">
        <f>'ปร4 โครงสร้างหอถัง'!A8</f>
        <v xml:space="preserve">ประมาณราคาวันที่  </v>
      </c>
      <c r="B10" s="597"/>
      <c r="C10" s="592" t="str">
        <f>'ปร4 โครงสร้างหอถัง'!D8</f>
        <v xml:space="preserve">  1   เดือน เมษายน พ.ศ.2568</v>
      </c>
      <c r="E10" s="592" t="str">
        <f>'ปร4 โครงสร้างหอถัง'!H8</f>
        <v>ราคาน้ำมันโซล่า 30.00-33.99 บาท/ลิตร</v>
      </c>
      <c r="H10" s="598" t="s">
        <v>487</v>
      </c>
    </row>
    <row r="11" spans="1:10" ht="19.5" customHeight="1">
      <c r="A11" s="2030" t="s">
        <v>95</v>
      </c>
      <c r="B11" s="2022" t="s">
        <v>96</v>
      </c>
      <c r="C11" s="2023"/>
      <c r="D11" s="2024"/>
      <c r="E11" s="2033" t="s">
        <v>488</v>
      </c>
      <c r="F11" s="2033" t="s">
        <v>489</v>
      </c>
      <c r="G11" s="2033" t="s">
        <v>490</v>
      </c>
      <c r="H11" s="2020" t="s">
        <v>100</v>
      </c>
    </row>
    <row r="12" spans="1:10" ht="19.5" customHeight="1">
      <c r="A12" s="2031"/>
      <c r="B12" s="2025"/>
      <c r="C12" s="2026"/>
      <c r="D12" s="2027"/>
      <c r="E12" s="2034"/>
      <c r="F12" s="2034"/>
      <c r="G12" s="2034"/>
      <c r="H12" s="2021"/>
      <c r="J12" s="336" t="s">
        <v>491</v>
      </c>
    </row>
    <row r="13" spans="1:10">
      <c r="A13" s="973">
        <v>1</v>
      </c>
      <c r="B13" s="974" t="s">
        <v>569</v>
      </c>
      <c r="C13" s="975"/>
      <c r="D13" s="976"/>
      <c r="E13" s="977">
        <f>'ปร4 โครงสร้างหอถัง'!L63</f>
        <v>156683.27834999998</v>
      </c>
      <c r="F13" s="978">
        <v>1.3090999999999999</v>
      </c>
      <c r="G13" s="977">
        <f>E13*F13</f>
        <v>205114.07968798495</v>
      </c>
      <c r="H13" s="979"/>
    </row>
    <row r="14" spans="1:10">
      <c r="A14" s="600">
        <v>2</v>
      </c>
      <c r="B14" s="601" t="s">
        <v>570</v>
      </c>
      <c r="C14" s="602"/>
      <c r="D14" s="603"/>
      <c r="E14" s="650">
        <f>'ปร4 โครงสร้างหอถัง'!L71</f>
        <v>11823.95859</v>
      </c>
      <c r="F14" s="651">
        <v>1.3090999999999999</v>
      </c>
      <c r="G14" s="650">
        <f t="shared" ref="G14:G19" si="0">E14*F14</f>
        <v>15478.744190169</v>
      </c>
      <c r="H14" s="605"/>
    </row>
    <row r="15" spans="1:10">
      <c r="A15" s="600">
        <v>3</v>
      </c>
      <c r="B15" s="601" t="str">
        <f>'ปร4 โครงสร้างหอถัง'!B75</f>
        <v>งานระบบท่อประปา</v>
      </c>
      <c r="C15" s="602"/>
      <c r="D15" s="603"/>
      <c r="E15" s="650">
        <f>'ปร4 โครงสร้างหอถัง'!L85</f>
        <v>12344.7</v>
      </c>
      <c r="F15" s="651">
        <f>F13</f>
        <v>1.3090999999999999</v>
      </c>
      <c r="G15" s="650">
        <f t="shared" si="0"/>
        <v>16160.44677</v>
      </c>
      <c r="H15" s="605"/>
    </row>
    <row r="16" spans="1:10">
      <c r="A16" s="600">
        <v>4</v>
      </c>
      <c r="B16" s="601" t="str">
        <f>'ปร4 โครงสร้างหอถัง'!B89</f>
        <v>งานระบบไฟฟ้า</v>
      </c>
      <c r="C16" s="602"/>
      <c r="D16" s="603"/>
      <c r="E16" s="650">
        <f>'ปร4 โครงสร้างหอถัง'!L95</f>
        <v>12514</v>
      </c>
      <c r="F16" s="651">
        <f>F13</f>
        <v>1.3090999999999999</v>
      </c>
      <c r="G16" s="650">
        <f t="shared" si="0"/>
        <v>16382.077399999998</v>
      </c>
      <c r="H16" s="605"/>
    </row>
    <row r="17" spans="1:8" ht="21">
      <c r="A17" s="600">
        <v>5</v>
      </c>
      <c r="B17" s="980" t="s">
        <v>571</v>
      </c>
      <c r="C17" s="607"/>
      <c r="D17" s="603"/>
      <c r="E17" s="650">
        <f>'ปร4 โครงสร้างโซล่าเซลล์'!M33</f>
        <v>28509.242073079997</v>
      </c>
      <c r="F17" s="651">
        <v>1.3090999999999999</v>
      </c>
      <c r="G17" s="650">
        <f t="shared" si="0"/>
        <v>37321.448797869023</v>
      </c>
      <c r="H17" s="605"/>
    </row>
    <row r="18" spans="1:8" ht="21">
      <c r="A18" s="600">
        <v>6</v>
      </c>
      <c r="B18" s="980" t="s">
        <v>572</v>
      </c>
      <c r="C18" s="607"/>
      <c r="D18" s="603"/>
      <c r="E18" s="650">
        <f>'ปร4 ครุภัณฑ์โซล่าเซลล์'!M29</f>
        <v>90359</v>
      </c>
      <c r="F18" s="651">
        <v>1.07</v>
      </c>
      <c r="G18" s="650">
        <f t="shared" si="0"/>
        <v>96684.13</v>
      </c>
      <c r="H18" s="605"/>
    </row>
    <row r="19" spans="1:8" ht="21">
      <c r="A19" s="600">
        <v>7</v>
      </c>
      <c r="B19" s="980" t="s">
        <v>573</v>
      </c>
      <c r="C19" s="607"/>
      <c r="D19" s="603"/>
      <c r="E19" s="650">
        <v>22000</v>
      </c>
      <c r="F19" s="651">
        <v>1.07</v>
      </c>
      <c r="G19" s="650">
        <f t="shared" si="0"/>
        <v>23540</v>
      </c>
      <c r="H19" s="605"/>
    </row>
    <row r="20" spans="1:8" ht="21">
      <c r="A20" s="600"/>
      <c r="B20" s="980" t="s">
        <v>574</v>
      </c>
      <c r="C20" s="607"/>
      <c r="D20" s="603"/>
      <c r="E20" s="650"/>
      <c r="F20" s="651"/>
      <c r="G20" s="650"/>
      <c r="H20" s="605"/>
    </row>
    <row r="21" spans="1:8" ht="21">
      <c r="A21" s="600">
        <v>8</v>
      </c>
      <c r="B21" s="981" t="s">
        <v>492</v>
      </c>
      <c r="C21" s="607"/>
      <c r="D21" s="603"/>
      <c r="E21" s="650">
        <v>26500</v>
      </c>
      <c r="F21" s="651">
        <v>1.07</v>
      </c>
      <c r="G21" s="650">
        <f>E21*F21</f>
        <v>28355</v>
      </c>
      <c r="H21" s="605"/>
    </row>
    <row r="22" spans="1:8" ht="21">
      <c r="A22" s="600"/>
      <c r="B22" s="980" t="s">
        <v>575</v>
      </c>
      <c r="C22" s="607"/>
      <c r="D22" s="603"/>
      <c r="E22" s="650"/>
      <c r="F22" s="651"/>
      <c r="G22" s="650"/>
      <c r="H22" s="605"/>
    </row>
    <row r="23" spans="1:8" ht="21">
      <c r="A23" s="600">
        <v>9</v>
      </c>
      <c r="B23" s="980" t="s">
        <v>576</v>
      </c>
      <c r="C23" s="607"/>
      <c r="D23" s="603"/>
      <c r="E23" s="650">
        <f>11000*4</f>
        <v>44000</v>
      </c>
      <c r="F23" s="651">
        <v>1.07</v>
      </c>
      <c r="G23" s="650">
        <f>E23*F23</f>
        <v>47080</v>
      </c>
      <c r="H23" s="605"/>
    </row>
    <row r="24" spans="1:8" ht="21">
      <c r="A24" s="609">
        <v>10</v>
      </c>
      <c r="B24" s="1740" t="s">
        <v>493</v>
      </c>
      <c r="C24" s="1265"/>
      <c r="D24" s="612"/>
      <c r="E24" s="650">
        <v>18000</v>
      </c>
      <c r="F24" s="1743">
        <v>1</v>
      </c>
      <c r="G24" s="650">
        <f>E24*F24</f>
        <v>18000</v>
      </c>
      <c r="H24" s="605"/>
    </row>
    <row r="25" spans="1:8">
      <c r="A25" s="1739"/>
      <c r="B25" s="1177"/>
      <c r="C25" s="1436"/>
      <c r="D25" s="1416"/>
      <c r="F25" s="1184"/>
      <c r="H25" s="605"/>
    </row>
    <row r="26" spans="1:8">
      <c r="A26" s="1738"/>
      <c r="B26" s="1741" t="s">
        <v>494</v>
      </c>
      <c r="C26" s="1742"/>
      <c r="D26" s="1418"/>
      <c r="E26" s="982"/>
      <c r="F26" s="1744"/>
      <c r="G26" s="982"/>
      <c r="H26" s="984"/>
    </row>
    <row r="27" spans="1:8">
      <c r="A27" s="656"/>
      <c r="B27" s="657" t="s">
        <v>495</v>
      </c>
      <c r="C27" s="658"/>
      <c r="D27" s="602" t="s">
        <v>578</v>
      </c>
      <c r="E27" s="985"/>
      <c r="F27" s="986"/>
      <c r="G27" s="715"/>
      <c r="H27" s="987"/>
    </row>
    <row r="28" spans="1:8">
      <c r="A28" s="661"/>
      <c r="B28" s="662" t="s">
        <v>496</v>
      </c>
      <c r="C28" s="663"/>
      <c r="D28" s="663" t="s">
        <v>579</v>
      </c>
      <c r="E28" s="664"/>
      <c r="F28" s="665"/>
      <c r="G28" s="665"/>
      <c r="H28" s="666"/>
    </row>
    <row r="29" spans="1:8">
      <c r="A29" s="2030" t="s">
        <v>500</v>
      </c>
      <c r="B29" s="617"/>
      <c r="C29" s="618"/>
      <c r="D29" s="619" t="s">
        <v>460</v>
      </c>
      <c r="E29" s="988" t="s">
        <v>501</v>
      </c>
      <c r="F29" s="989"/>
      <c r="G29" s="990">
        <f>SUM(G13:G28)</f>
        <v>504115.92684602301</v>
      </c>
      <c r="H29" s="991" t="s">
        <v>445</v>
      </c>
    </row>
    <row r="30" spans="1:8">
      <c r="A30" s="2032"/>
      <c r="B30" s="992"/>
      <c r="C30" s="992"/>
      <c r="E30" s="993"/>
      <c r="F30" s="994" t="s">
        <v>580</v>
      </c>
      <c r="G30" s="628">
        <f>ROUNDDOWN(G29,-3)</f>
        <v>504000</v>
      </c>
      <c r="H30" s="995" t="s">
        <v>445</v>
      </c>
    </row>
    <row r="31" spans="1:8">
      <c r="A31" s="668"/>
      <c r="B31" s="669"/>
      <c r="C31" s="669"/>
      <c r="D31" s="670" t="s">
        <v>502</v>
      </c>
      <c r="E31" s="2029" t="str">
        <f>BAHTTEXT(G30)</f>
        <v>ห้าแสนสี่พันบาทถ้วน</v>
      </c>
      <c r="F31" s="2029"/>
      <c r="G31" s="2029"/>
      <c r="H31" s="671"/>
    </row>
    <row r="32" spans="1:8">
      <c r="A32" s="597" t="s">
        <v>581</v>
      </c>
      <c r="D32" s="640">
        <v>1</v>
      </c>
      <c r="E32" s="641" t="s">
        <v>212</v>
      </c>
    </row>
    <row r="33" spans="1:19">
      <c r="A33" s="597" t="s">
        <v>582</v>
      </c>
      <c r="D33" s="640">
        <f>G29/D32</f>
        <v>504115.92684602301</v>
      </c>
      <c r="E33" s="597" t="s">
        <v>583</v>
      </c>
      <c r="F33" s="336" t="s">
        <v>584</v>
      </c>
    </row>
    <row r="34" spans="1:19" s="216" customFormat="1" ht="13.05" customHeight="1">
      <c r="C34" s="642"/>
      <c r="E34" s="336"/>
      <c r="F34" s="336"/>
      <c r="G34" s="336"/>
      <c r="H34" s="336"/>
      <c r="J34" s="336"/>
      <c r="L34" s="336"/>
      <c r="M34" s="336"/>
      <c r="N34" s="336"/>
      <c r="S34" s="336"/>
    </row>
    <row r="35" spans="1:19" s="216" customFormat="1" ht="19.8" customHeight="1">
      <c r="L35" s="643"/>
    </row>
    <row r="36" spans="1:19" s="216" customFormat="1">
      <c r="B36" s="1745" t="s">
        <v>1070</v>
      </c>
      <c r="E36" s="1745" t="s">
        <v>1073</v>
      </c>
      <c r="L36" s="643"/>
    </row>
    <row r="37" spans="1:19" s="216" customFormat="1" ht="17.399999999999999" customHeight="1">
      <c r="B37" s="1746" t="s">
        <v>1071</v>
      </c>
      <c r="E37" s="1747" t="s">
        <v>1072</v>
      </c>
    </row>
    <row r="38" spans="1:19" s="216" customFormat="1" ht="16.95" customHeight="1">
      <c r="B38" s="644" t="s">
        <v>595</v>
      </c>
      <c r="D38" s="643"/>
      <c r="E38" s="1746" t="s">
        <v>1074</v>
      </c>
    </row>
    <row r="39" spans="1:19" s="216" customFormat="1"/>
    <row r="40" spans="1:19" s="216" customFormat="1">
      <c r="B40" s="1745" t="s">
        <v>1073</v>
      </c>
      <c r="E40" s="1745"/>
      <c r="H40" s="643"/>
    </row>
    <row r="41" spans="1:19" s="216" customFormat="1">
      <c r="B41" s="1747" t="s">
        <v>1076</v>
      </c>
      <c r="E41" s="1747"/>
    </row>
    <row r="42" spans="1:19">
      <c r="B42" s="1746" t="s">
        <v>1075</v>
      </c>
      <c r="C42" s="216"/>
      <c r="D42" s="216"/>
      <c r="E42" s="1746"/>
      <c r="F42" s="216"/>
      <c r="G42" s="216"/>
      <c r="H42" s="647"/>
    </row>
  </sheetData>
  <mergeCells count="9">
    <mergeCell ref="H11:H12"/>
    <mergeCell ref="B11:D12"/>
    <mergeCell ref="A1:G1"/>
    <mergeCell ref="E31:G31"/>
    <mergeCell ref="A11:A12"/>
    <mergeCell ref="A29:A30"/>
    <mergeCell ref="E11:E12"/>
    <mergeCell ref="F11:F12"/>
    <mergeCell ref="G11:G12"/>
  </mergeCells>
  <pageMargins left="0.56000000000000005" right="0.23" top="0.27" bottom="0.49" header="0.15" footer="0.49"/>
  <pageSetup paperSize="9" scale="9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WWI79"/>
  <sheetViews>
    <sheetView showGridLines="0" topLeftCell="S1" workbookViewId="0">
      <selection activeCell="AC10" sqref="AC10"/>
    </sheetView>
  </sheetViews>
  <sheetFormatPr defaultColWidth="7.88671875" defaultRowHeight="17.399999999999999"/>
  <cols>
    <col min="1" max="1" width="3" style="872" customWidth="1"/>
    <col min="2" max="2" width="3.6640625" style="873" customWidth="1"/>
    <col min="3" max="3" width="12.44140625" style="872" customWidth="1"/>
    <col min="4" max="4" width="5.44140625" style="872" customWidth="1"/>
    <col min="5" max="5" width="2.33203125" style="872" customWidth="1"/>
    <col min="6" max="6" width="8.77734375" style="872" customWidth="1"/>
    <col min="7" max="7" width="2.33203125" style="872" customWidth="1"/>
    <col min="8" max="8" width="8.33203125" style="872" customWidth="1"/>
    <col min="9" max="12" width="13" style="873" customWidth="1"/>
    <col min="13" max="13" width="13" style="872" customWidth="1"/>
    <col min="14" max="14" width="9.109375" style="872" customWidth="1"/>
    <col min="15" max="23" width="10.88671875" style="872" customWidth="1"/>
    <col min="24" max="24" width="9.109375" style="872" customWidth="1"/>
    <col min="25" max="54" width="8" style="872"/>
    <col min="55" max="55" width="7.88671875" style="872" hidden="1" customWidth="1"/>
    <col min="56" max="260" width="8" style="872"/>
    <col min="261" max="261" width="1.77734375" style="872" customWidth="1"/>
    <col min="262" max="263" width="8" style="872"/>
    <col min="264" max="266" width="8.33203125" style="872" customWidth="1"/>
    <col min="267" max="267" width="26.77734375" style="872" customWidth="1"/>
    <col min="268" max="268" width="0.6640625" style="872" customWidth="1"/>
    <col min="269" max="271" width="10" style="872" customWidth="1"/>
    <col min="272" max="275" width="7.88671875" style="872" hidden="1" customWidth="1"/>
    <col min="276" max="276" width="10" style="872" customWidth="1"/>
    <col min="277" max="277" width="8.33203125" style="872" customWidth="1"/>
    <col min="278" max="278" width="7.109375" style="872" customWidth="1"/>
    <col min="279" max="279" width="14.109375" style="872" customWidth="1"/>
    <col min="280" max="280" width="6.77734375" style="872" customWidth="1"/>
    <col min="281" max="281" width="13.21875" style="872" customWidth="1"/>
    <col min="282" max="283" width="7.88671875" style="872" hidden="1" customWidth="1"/>
    <col min="284" max="284" width="5.88671875" style="872" customWidth="1"/>
    <col min="285" max="285" width="8.88671875" style="872" customWidth="1"/>
    <col min="286" max="286" width="10.88671875" style="872" customWidth="1"/>
    <col min="287" max="516" width="8" style="872"/>
    <col min="517" max="517" width="1.77734375" style="872" customWidth="1"/>
    <col min="518" max="519" width="8" style="872"/>
    <col min="520" max="522" width="8.33203125" style="872" customWidth="1"/>
    <col min="523" max="523" width="26.77734375" style="872" customWidth="1"/>
    <col min="524" max="524" width="0.6640625" style="872" customWidth="1"/>
    <col min="525" max="527" width="10" style="872" customWidth="1"/>
    <col min="528" max="531" width="7.88671875" style="872" hidden="1" customWidth="1"/>
    <col min="532" max="532" width="10" style="872" customWidth="1"/>
    <col min="533" max="533" width="8.33203125" style="872" customWidth="1"/>
    <col min="534" max="534" width="7.109375" style="872" customWidth="1"/>
    <col min="535" max="535" width="14.109375" style="872" customWidth="1"/>
    <col min="536" max="536" width="6.77734375" style="872" customWidth="1"/>
    <col min="537" max="537" width="13.21875" style="872" customWidth="1"/>
    <col min="538" max="539" width="7.88671875" style="872" hidden="1" customWidth="1"/>
    <col min="540" max="540" width="5.88671875" style="872" customWidth="1"/>
    <col min="541" max="541" width="8.88671875" style="872" customWidth="1"/>
    <col min="542" max="542" width="10.88671875" style="872" customWidth="1"/>
    <col min="543" max="772" width="8" style="872"/>
    <col min="773" max="773" width="1.77734375" style="872" customWidth="1"/>
    <col min="774" max="775" width="8" style="872"/>
    <col min="776" max="778" width="8.33203125" style="872" customWidth="1"/>
    <col min="779" max="779" width="26.77734375" style="872" customWidth="1"/>
    <col min="780" max="780" width="0.6640625" style="872" customWidth="1"/>
    <col min="781" max="783" width="10" style="872" customWidth="1"/>
    <col min="784" max="787" width="7.88671875" style="872" hidden="1" customWidth="1"/>
    <col min="788" max="788" width="10" style="872" customWidth="1"/>
    <col min="789" max="789" width="8.33203125" style="872" customWidth="1"/>
    <col min="790" max="790" width="7.109375" style="872" customWidth="1"/>
    <col min="791" max="791" width="14.109375" style="872" customWidth="1"/>
    <col min="792" max="792" width="6.77734375" style="872" customWidth="1"/>
    <col min="793" max="793" width="13.21875" style="872" customWidth="1"/>
    <col min="794" max="795" width="7.88671875" style="872" hidden="1" customWidth="1"/>
    <col min="796" max="796" width="5.88671875" style="872" customWidth="1"/>
    <col min="797" max="797" width="8.88671875" style="872" customWidth="1"/>
    <col min="798" max="798" width="10.88671875" style="872" customWidth="1"/>
    <col min="799" max="1028" width="8" style="872"/>
    <col min="1029" max="1029" width="1.77734375" style="872" customWidth="1"/>
    <col min="1030" max="1031" width="8" style="872"/>
    <col min="1032" max="1034" width="8.33203125" style="872" customWidth="1"/>
    <col min="1035" max="1035" width="26.77734375" style="872" customWidth="1"/>
    <col min="1036" max="1036" width="0.6640625" style="872" customWidth="1"/>
    <col min="1037" max="1039" width="10" style="872" customWidth="1"/>
    <col min="1040" max="1043" width="7.88671875" style="872" hidden="1" customWidth="1"/>
    <col min="1044" max="1044" width="10" style="872" customWidth="1"/>
    <col min="1045" max="1045" width="8.33203125" style="872" customWidth="1"/>
    <col min="1046" max="1046" width="7.109375" style="872" customWidth="1"/>
    <col min="1047" max="1047" width="14.109375" style="872" customWidth="1"/>
    <col min="1048" max="1048" width="6.77734375" style="872" customWidth="1"/>
    <col min="1049" max="1049" width="13.21875" style="872" customWidth="1"/>
    <col min="1050" max="1051" width="7.88671875" style="872" hidden="1" customWidth="1"/>
    <col min="1052" max="1052" width="5.88671875" style="872" customWidth="1"/>
    <col min="1053" max="1053" width="8.88671875" style="872" customWidth="1"/>
    <col min="1054" max="1054" width="10.88671875" style="872" customWidth="1"/>
    <col min="1055" max="1284" width="8" style="872"/>
    <col min="1285" max="1285" width="1.77734375" style="872" customWidth="1"/>
    <col min="1286" max="1287" width="8" style="872"/>
    <col min="1288" max="1290" width="8.33203125" style="872" customWidth="1"/>
    <col min="1291" max="1291" width="26.77734375" style="872" customWidth="1"/>
    <col min="1292" max="1292" width="0.6640625" style="872" customWidth="1"/>
    <col min="1293" max="1295" width="10" style="872" customWidth="1"/>
    <col min="1296" max="1299" width="7.88671875" style="872" hidden="1" customWidth="1"/>
    <col min="1300" max="1300" width="10" style="872" customWidth="1"/>
    <col min="1301" max="1301" width="8.33203125" style="872" customWidth="1"/>
    <col min="1302" max="1302" width="7.109375" style="872" customWidth="1"/>
    <col min="1303" max="1303" width="14.109375" style="872" customWidth="1"/>
    <col min="1304" max="1304" width="6.77734375" style="872" customWidth="1"/>
    <col min="1305" max="1305" width="13.21875" style="872" customWidth="1"/>
    <col min="1306" max="1307" width="7.88671875" style="872" hidden="1" customWidth="1"/>
    <col min="1308" max="1308" width="5.88671875" style="872" customWidth="1"/>
    <col min="1309" max="1309" width="8.88671875" style="872" customWidth="1"/>
    <col min="1310" max="1310" width="10.88671875" style="872" customWidth="1"/>
    <col min="1311" max="1540" width="8" style="872"/>
    <col min="1541" max="1541" width="1.77734375" style="872" customWidth="1"/>
    <col min="1542" max="1543" width="8" style="872"/>
    <col min="1544" max="1546" width="8.33203125" style="872" customWidth="1"/>
    <col min="1547" max="1547" width="26.77734375" style="872" customWidth="1"/>
    <col min="1548" max="1548" width="0.6640625" style="872" customWidth="1"/>
    <col min="1549" max="1551" width="10" style="872" customWidth="1"/>
    <col min="1552" max="1555" width="7.88671875" style="872" hidden="1" customWidth="1"/>
    <col min="1556" max="1556" width="10" style="872" customWidth="1"/>
    <col min="1557" max="1557" width="8.33203125" style="872" customWidth="1"/>
    <col min="1558" max="1558" width="7.109375" style="872" customWidth="1"/>
    <col min="1559" max="1559" width="14.109375" style="872" customWidth="1"/>
    <col min="1560" max="1560" width="6.77734375" style="872" customWidth="1"/>
    <col min="1561" max="1561" width="13.21875" style="872" customWidth="1"/>
    <col min="1562" max="1563" width="7.88671875" style="872" hidden="1" customWidth="1"/>
    <col min="1564" max="1564" width="5.88671875" style="872" customWidth="1"/>
    <col min="1565" max="1565" width="8.88671875" style="872" customWidth="1"/>
    <col min="1566" max="1566" width="10.88671875" style="872" customWidth="1"/>
    <col min="1567" max="1796" width="8" style="872"/>
    <col min="1797" max="1797" width="1.77734375" style="872" customWidth="1"/>
    <col min="1798" max="1799" width="8" style="872"/>
    <col min="1800" max="1802" width="8.33203125" style="872" customWidth="1"/>
    <col min="1803" max="1803" width="26.77734375" style="872" customWidth="1"/>
    <col min="1804" max="1804" width="0.6640625" style="872" customWidth="1"/>
    <col min="1805" max="1807" width="10" style="872" customWidth="1"/>
    <col min="1808" max="1811" width="7.88671875" style="872" hidden="1" customWidth="1"/>
    <col min="1812" max="1812" width="10" style="872" customWidth="1"/>
    <col min="1813" max="1813" width="8.33203125" style="872" customWidth="1"/>
    <col min="1814" max="1814" width="7.109375" style="872" customWidth="1"/>
    <col min="1815" max="1815" width="14.109375" style="872" customWidth="1"/>
    <col min="1816" max="1816" width="6.77734375" style="872" customWidth="1"/>
    <col min="1817" max="1817" width="13.21875" style="872" customWidth="1"/>
    <col min="1818" max="1819" width="7.88671875" style="872" hidden="1" customWidth="1"/>
    <col min="1820" max="1820" width="5.88671875" style="872" customWidth="1"/>
    <col min="1821" max="1821" width="8.88671875" style="872" customWidth="1"/>
    <col min="1822" max="1822" width="10.88671875" style="872" customWidth="1"/>
    <col min="1823" max="2052" width="8" style="872"/>
    <col min="2053" max="2053" width="1.77734375" style="872" customWidth="1"/>
    <col min="2054" max="2055" width="8" style="872"/>
    <col min="2056" max="2058" width="8.33203125" style="872" customWidth="1"/>
    <col min="2059" max="2059" width="26.77734375" style="872" customWidth="1"/>
    <col min="2060" max="2060" width="0.6640625" style="872" customWidth="1"/>
    <col min="2061" max="2063" width="10" style="872" customWidth="1"/>
    <col min="2064" max="2067" width="7.88671875" style="872" hidden="1" customWidth="1"/>
    <col min="2068" max="2068" width="10" style="872" customWidth="1"/>
    <col min="2069" max="2069" width="8.33203125" style="872" customWidth="1"/>
    <col min="2070" max="2070" width="7.109375" style="872" customWidth="1"/>
    <col min="2071" max="2071" width="14.109375" style="872" customWidth="1"/>
    <col min="2072" max="2072" width="6.77734375" style="872" customWidth="1"/>
    <col min="2073" max="2073" width="13.21875" style="872" customWidth="1"/>
    <col min="2074" max="2075" width="7.88671875" style="872" hidden="1" customWidth="1"/>
    <col min="2076" max="2076" width="5.88671875" style="872" customWidth="1"/>
    <col min="2077" max="2077" width="8.88671875" style="872" customWidth="1"/>
    <col min="2078" max="2078" width="10.88671875" style="872" customWidth="1"/>
    <col min="2079" max="2308" width="8" style="872"/>
    <col min="2309" max="2309" width="1.77734375" style="872" customWidth="1"/>
    <col min="2310" max="2311" width="8" style="872"/>
    <col min="2312" max="2314" width="8.33203125" style="872" customWidth="1"/>
    <col min="2315" max="2315" width="26.77734375" style="872" customWidth="1"/>
    <col min="2316" max="2316" width="0.6640625" style="872" customWidth="1"/>
    <col min="2317" max="2319" width="10" style="872" customWidth="1"/>
    <col min="2320" max="2323" width="7.88671875" style="872" hidden="1" customWidth="1"/>
    <col min="2324" max="2324" width="10" style="872" customWidth="1"/>
    <col min="2325" max="2325" width="8.33203125" style="872" customWidth="1"/>
    <col min="2326" max="2326" width="7.109375" style="872" customWidth="1"/>
    <col min="2327" max="2327" width="14.109375" style="872" customWidth="1"/>
    <col min="2328" max="2328" width="6.77734375" style="872" customWidth="1"/>
    <col min="2329" max="2329" width="13.21875" style="872" customWidth="1"/>
    <col min="2330" max="2331" width="7.88671875" style="872" hidden="1" customWidth="1"/>
    <col min="2332" max="2332" width="5.88671875" style="872" customWidth="1"/>
    <col min="2333" max="2333" width="8.88671875" style="872" customWidth="1"/>
    <col min="2334" max="2334" width="10.88671875" style="872" customWidth="1"/>
    <col min="2335" max="2564" width="8" style="872"/>
    <col min="2565" max="2565" width="1.77734375" style="872" customWidth="1"/>
    <col min="2566" max="2567" width="8" style="872"/>
    <col min="2568" max="2570" width="8.33203125" style="872" customWidth="1"/>
    <col min="2571" max="2571" width="26.77734375" style="872" customWidth="1"/>
    <col min="2572" max="2572" width="0.6640625" style="872" customWidth="1"/>
    <col min="2573" max="2575" width="10" style="872" customWidth="1"/>
    <col min="2576" max="2579" width="7.88671875" style="872" hidden="1" customWidth="1"/>
    <col min="2580" max="2580" width="10" style="872" customWidth="1"/>
    <col min="2581" max="2581" width="8.33203125" style="872" customWidth="1"/>
    <col min="2582" max="2582" width="7.109375" style="872" customWidth="1"/>
    <col min="2583" max="2583" width="14.109375" style="872" customWidth="1"/>
    <col min="2584" max="2584" width="6.77734375" style="872" customWidth="1"/>
    <col min="2585" max="2585" width="13.21875" style="872" customWidth="1"/>
    <col min="2586" max="2587" width="7.88671875" style="872" hidden="1" customWidth="1"/>
    <col min="2588" max="2588" width="5.88671875" style="872" customWidth="1"/>
    <col min="2589" max="2589" width="8.88671875" style="872" customWidth="1"/>
    <col min="2590" max="2590" width="10.88671875" style="872" customWidth="1"/>
    <col min="2591" max="2820" width="8" style="872"/>
    <col min="2821" max="2821" width="1.77734375" style="872" customWidth="1"/>
    <col min="2822" max="2823" width="8" style="872"/>
    <col min="2824" max="2826" width="8.33203125" style="872" customWidth="1"/>
    <col min="2827" max="2827" width="26.77734375" style="872" customWidth="1"/>
    <col min="2828" max="2828" width="0.6640625" style="872" customWidth="1"/>
    <col min="2829" max="2831" width="10" style="872" customWidth="1"/>
    <col min="2832" max="2835" width="7.88671875" style="872" hidden="1" customWidth="1"/>
    <col min="2836" max="2836" width="10" style="872" customWidth="1"/>
    <col min="2837" max="2837" width="8.33203125" style="872" customWidth="1"/>
    <col min="2838" max="2838" width="7.109375" style="872" customWidth="1"/>
    <col min="2839" max="2839" width="14.109375" style="872" customWidth="1"/>
    <col min="2840" max="2840" width="6.77734375" style="872" customWidth="1"/>
    <col min="2841" max="2841" width="13.21875" style="872" customWidth="1"/>
    <col min="2842" max="2843" width="7.88671875" style="872" hidden="1" customWidth="1"/>
    <col min="2844" max="2844" width="5.88671875" style="872" customWidth="1"/>
    <col min="2845" max="2845" width="8.88671875" style="872" customWidth="1"/>
    <col min="2846" max="2846" width="10.88671875" style="872" customWidth="1"/>
    <col min="2847" max="3076" width="8" style="872"/>
    <col min="3077" max="3077" width="1.77734375" style="872" customWidth="1"/>
    <col min="3078" max="3079" width="8" style="872"/>
    <col min="3080" max="3082" width="8.33203125" style="872" customWidth="1"/>
    <col min="3083" max="3083" width="26.77734375" style="872" customWidth="1"/>
    <col min="3084" max="3084" width="0.6640625" style="872" customWidth="1"/>
    <col min="3085" max="3087" width="10" style="872" customWidth="1"/>
    <col min="3088" max="3091" width="7.88671875" style="872" hidden="1" customWidth="1"/>
    <col min="3092" max="3092" width="10" style="872" customWidth="1"/>
    <col min="3093" max="3093" width="8.33203125" style="872" customWidth="1"/>
    <col min="3094" max="3094" width="7.109375" style="872" customWidth="1"/>
    <col min="3095" max="3095" width="14.109375" style="872" customWidth="1"/>
    <col min="3096" max="3096" width="6.77734375" style="872" customWidth="1"/>
    <col min="3097" max="3097" width="13.21875" style="872" customWidth="1"/>
    <col min="3098" max="3099" width="7.88671875" style="872" hidden="1" customWidth="1"/>
    <col min="3100" max="3100" width="5.88671875" style="872" customWidth="1"/>
    <col min="3101" max="3101" width="8.88671875" style="872" customWidth="1"/>
    <col min="3102" max="3102" width="10.88671875" style="872" customWidth="1"/>
    <col min="3103" max="3332" width="8" style="872"/>
    <col min="3333" max="3333" width="1.77734375" style="872" customWidth="1"/>
    <col min="3334" max="3335" width="8" style="872"/>
    <col min="3336" max="3338" width="8.33203125" style="872" customWidth="1"/>
    <col min="3339" max="3339" width="26.77734375" style="872" customWidth="1"/>
    <col min="3340" max="3340" width="0.6640625" style="872" customWidth="1"/>
    <col min="3341" max="3343" width="10" style="872" customWidth="1"/>
    <col min="3344" max="3347" width="7.88671875" style="872" hidden="1" customWidth="1"/>
    <col min="3348" max="3348" width="10" style="872" customWidth="1"/>
    <col min="3349" max="3349" width="8.33203125" style="872" customWidth="1"/>
    <col min="3350" max="3350" width="7.109375" style="872" customWidth="1"/>
    <col min="3351" max="3351" width="14.109375" style="872" customWidth="1"/>
    <col min="3352" max="3352" width="6.77734375" style="872" customWidth="1"/>
    <col min="3353" max="3353" width="13.21875" style="872" customWidth="1"/>
    <col min="3354" max="3355" width="7.88671875" style="872" hidden="1" customWidth="1"/>
    <col min="3356" max="3356" width="5.88671875" style="872" customWidth="1"/>
    <col min="3357" max="3357" width="8.88671875" style="872" customWidth="1"/>
    <col min="3358" max="3358" width="10.88671875" style="872" customWidth="1"/>
    <col min="3359" max="3588" width="8" style="872"/>
    <col min="3589" max="3589" width="1.77734375" style="872" customWidth="1"/>
    <col min="3590" max="3591" width="8" style="872"/>
    <col min="3592" max="3594" width="8.33203125" style="872" customWidth="1"/>
    <col min="3595" max="3595" width="26.77734375" style="872" customWidth="1"/>
    <col min="3596" max="3596" width="0.6640625" style="872" customWidth="1"/>
    <col min="3597" max="3599" width="10" style="872" customWidth="1"/>
    <col min="3600" max="3603" width="7.88671875" style="872" hidden="1" customWidth="1"/>
    <col min="3604" max="3604" width="10" style="872" customWidth="1"/>
    <col min="3605" max="3605" width="8.33203125" style="872" customWidth="1"/>
    <col min="3606" max="3606" width="7.109375" style="872" customWidth="1"/>
    <col min="3607" max="3607" width="14.109375" style="872" customWidth="1"/>
    <col min="3608" max="3608" width="6.77734375" style="872" customWidth="1"/>
    <col min="3609" max="3609" width="13.21875" style="872" customWidth="1"/>
    <col min="3610" max="3611" width="7.88671875" style="872" hidden="1" customWidth="1"/>
    <col min="3612" max="3612" width="5.88671875" style="872" customWidth="1"/>
    <col min="3613" max="3613" width="8.88671875" style="872" customWidth="1"/>
    <col min="3614" max="3614" width="10.88671875" style="872" customWidth="1"/>
    <col min="3615" max="3844" width="8" style="872"/>
    <col min="3845" max="3845" width="1.77734375" style="872" customWidth="1"/>
    <col min="3846" max="3847" width="8" style="872"/>
    <col min="3848" max="3850" width="8.33203125" style="872" customWidth="1"/>
    <col min="3851" max="3851" width="26.77734375" style="872" customWidth="1"/>
    <col min="3852" max="3852" width="0.6640625" style="872" customWidth="1"/>
    <col min="3853" max="3855" width="10" style="872" customWidth="1"/>
    <col min="3856" max="3859" width="7.88671875" style="872" hidden="1" customWidth="1"/>
    <col min="3860" max="3860" width="10" style="872" customWidth="1"/>
    <col min="3861" max="3861" width="8.33203125" style="872" customWidth="1"/>
    <col min="3862" max="3862" width="7.109375" style="872" customWidth="1"/>
    <col min="3863" max="3863" width="14.109375" style="872" customWidth="1"/>
    <col min="3864" max="3864" width="6.77734375" style="872" customWidth="1"/>
    <col min="3865" max="3865" width="13.21875" style="872" customWidth="1"/>
    <col min="3866" max="3867" width="7.88671875" style="872" hidden="1" customWidth="1"/>
    <col min="3868" max="3868" width="5.88671875" style="872" customWidth="1"/>
    <col min="3869" max="3869" width="8.88671875" style="872" customWidth="1"/>
    <col min="3870" max="3870" width="10.88671875" style="872" customWidth="1"/>
    <col min="3871" max="4100" width="8" style="872"/>
    <col min="4101" max="4101" width="1.77734375" style="872" customWidth="1"/>
    <col min="4102" max="4103" width="8" style="872"/>
    <col min="4104" max="4106" width="8.33203125" style="872" customWidth="1"/>
    <col min="4107" max="4107" width="26.77734375" style="872" customWidth="1"/>
    <col min="4108" max="4108" width="0.6640625" style="872" customWidth="1"/>
    <col min="4109" max="4111" width="10" style="872" customWidth="1"/>
    <col min="4112" max="4115" width="7.88671875" style="872" hidden="1" customWidth="1"/>
    <col min="4116" max="4116" width="10" style="872" customWidth="1"/>
    <col min="4117" max="4117" width="8.33203125" style="872" customWidth="1"/>
    <col min="4118" max="4118" width="7.109375" style="872" customWidth="1"/>
    <col min="4119" max="4119" width="14.109375" style="872" customWidth="1"/>
    <col min="4120" max="4120" width="6.77734375" style="872" customWidth="1"/>
    <col min="4121" max="4121" width="13.21875" style="872" customWidth="1"/>
    <col min="4122" max="4123" width="7.88671875" style="872" hidden="1" customWidth="1"/>
    <col min="4124" max="4124" width="5.88671875" style="872" customWidth="1"/>
    <col min="4125" max="4125" width="8.88671875" style="872" customWidth="1"/>
    <col min="4126" max="4126" width="10.88671875" style="872" customWidth="1"/>
    <col min="4127" max="4356" width="8" style="872"/>
    <col min="4357" max="4357" width="1.77734375" style="872" customWidth="1"/>
    <col min="4358" max="4359" width="8" style="872"/>
    <col min="4360" max="4362" width="8.33203125" style="872" customWidth="1"/>
    <col min="4363" max="4363" width="26.77734375" style="872" customWidth="1"/>
    <col min="4364" max="4364" width="0.6640625" style="872" customWidth="1"/>
    <col min="4365" max="4367" width="10" style="872" customWidth="1"/>
    <col min="4368" max="4371" width="7.88671875" style="872" hidden="1" customWidth="1"/>
    <col min="4372" max="4372" width="10" style="872" customWidth="1"/>
    <col min="4373" max="4373" width="8.33203125" style="872" customWidth="1"/>
    <col min="4374" max="4374" width="7.109375" style="872" customWidth="1"/>
    <col min="4375" max="4375" width="14.109375" style="872" customWidth="1"/>
    <col min="4376" max="4376" width="6.77734375" style="872" customWidth="1"/>
    <col min="4377" max="4377" width="13.21875" style="872" customWidth="1"/>
    <col min="4378" max="4379" width="7.88671875" style="872" hidden="1" customWidth="1"/>
    <col min="4380" max="4380" width="5.88671875" style="872" customWidth="1"/>
    <col min="4381" max="4381" width="8.88671875" style="872" customWidth="1"/>
    <col min="4382" max="4382" width="10.88671875" style="872" customWidth="1"/>
    <col min="4383" max="4612" width="8" style="872"/>
    <col min="4613" max="4613" width="1.77734375" style="872" customWidth="1"/>
    <col min="4614" max="4615" width="8" style="872"/>
    <col min="4616" max="4618" width="8.33203125" style="872" customWidth="1"/>
    <col min="4619" max="4619" width="26.77734375" style="872" customWidth="1"/>
    <col min="4620" max="4620" width="0.6640625" style="872" customWidth="1"/>
    <col min="4621" max="4623" width="10" style="872" customWidth="1"/>
    <col min="4624" max="4627" width="7.88671875" style="872" hidden="1" customWidth="1"/>
    <col min="4628" max="4628" width="10" style="872" customWidth="1"/>
    <col min="4629" max="4629" width="8.33203125" style="872" customWidth="1"/>
    <col min="4630" max="4630" width="7.109375" style="872" customWidth="1"/>
    <col min="4631" max="4631" width="14.109375" style="872" customWidth="1"/>
    <col min="4632" max="4632" width="6.77734375" style="872" customWidth="1"/>
    <col min="4633" max="4633" width="13.21875" style="872" customWidth="1"/>
    <col min="4634" max="4635" width="7.88671875" style="872" hidden="1" customWidth="1"/>
    <col min="4636" max="4636" width="5.88671875" style="872" customWidth="1"/>
    <col min="4637" max="4637" width="8.88671875" style="872" customWidth="1"/>
    <col min="4638" max="4638" width="10.88671875" style="872" customWidth="1"/>
    <col min="4639" max="4868" width="8" style="872"/>
    <col min="4869" max="4869" width="1.77734375" style="872" customWidth="1"/>
    <col min="4870" max="4871" width="8" style="872"/>
    <col min="4872" max="4874" width="8.33203125" style="872" customWidth="1"/>
    <col min="4875" max="4875" width="26.77734375" style="872" customWidth="1"/>
    <col min="4876" max="4876" width="0.6640625" style="872" customWidth="1"/>
    <col min="4877" max="4879" width="10" style="872" customWidth="1"/>
    <col min="4880" max="4883" width="7.88671875" style="872" hidden="1" customWidth="1"/>
    <col min="4884" max="4884" width="10" style="872" customWidth="1"/>
    <col min="4885" max="4885" width="8.33203125" style="872" customWidth="1"/>
    <col min="4886" max="4886" width="7.109375" style="872" customWidth="1"/>
    <col min="4887" max="4887" width="14.109375" style="872" customWidth="1"/>
    <col min="4888" max="4888" width="6.77734375" style="872" customWidth="1"/>
    <col min="4889" max="4889" width="13.21875" style="872" customWidth="1"/>
    <col min="4890" max="4891" width="7.88671875" style="872" hidden="1" customWidth="1"/>
    <col min="4892" max="4892" width="5.88671875" style="872" customWidth="1"/>
    <col min="4893" max="4893" width="8.88671875" style="872" customWidth="1"/>
    <col min="4894" max="4894" width="10.88671875" style="872" customWidth="1"/>
    <col min="4895" max="5124" width="8" style="872"/>
    <col min="5125" max="5125" width="1.77734375" style="872" customWidth="1"/>
    <col min="5126" max="5127" width="8" style="872"/>
    <col min="5128" max="5130" width="8.33203125" style="872" customWidth="1"/>
    <col min="5131" max="5131" width="26.77734375" style="872" customWidth="1"/>
    <col min="5132" max="5132" width="0.6640625" style="872" customWidth="1"/>
    <col min="5133" max="5135" width="10" style="872" customWidth="1"/>
    <col min="5136" max="5139" width="7.88671875" style="872" hidden="1" customWidth="1"/>
    <col min="5140" max="5140" width="10" style="872" customWidth="1"/>
    <col min="5141" max="5141" width="8.33203125" style="872" customWidth="1"/>
    <col min="5142" max="5142" width="7.109375" style="872" customWidth="1"/>
    <col min="5143" max="5143" width="14.109375" style="872" customWidth="1"/>
    <col min="5144" max="5144" width="6.77734375" style="872" customWidth="1"/>
    <col min="5145" max="5145" width="13.21875" style="872" customWidth="1"/>
    <col min="5146" max="5147" width="7.88671875" style="872" hidden="1" customWidth="1"/>
    <col min="5148" max="5148" width="5.88671875" style="872" customWidth="1"/>
    <col min="5149" max="5149" width="8.88671875" style="872" customWidth="1"/>
    <col min="5150" max="5150" width="10.88671875" style="872" customWidth="1"/>
    <col min="5151" max="5380" width="8" style="872"/>
    <col min="5381" max="5381" width="1.77734375" style="872" customWidth="1"/>
    <col min="5382" max="5383" width="8" style="872"/>
    <col min="5384" max="5386" width="8.33203125" style="872" customWidth="1"/>
    <col min="5387" max="5387" width="26.77734375" style="872" customWidth="1"/>
    <col min="5388" max="5388" width="0.6640625" style="872" customWidth="1"/>
    <col min="5389" max="5391" width="10" style="872" customWidth="1"/>
    <col min="5392" max="5395" width="7.88671875" style="872" hidden="1" customWidth="1"/>
    <col min="5396" max="5396" width="10" style="872" customWidth="1"/>
    <col min="5397" max="5397" width="8.33203125" style="872" customWidth="1"/>
    <col min="5398" max="5398" width="7.109375" style="872" customWidth="1"/>
    <col min="5399" max="5399" width="14.109375" style="872" customWidth="1"/>
    <col min="5400" max="5400" width="6.77734375" style="872" customWidth="1"/>
    <col min="5401" max="5401" width="13.21875" style="872" customWidth="1"/>
    <col min="5402" max="5403" width="7.88671875" style="872" hidden="1" customWidth="1"/>
    <col min="5404" max="5404" width="5.88671875" style="872" customWidth="1"/>
    <col min="5405" max="5405" width="8.88671875" style="872" customWidth="1"/>
    <col min="5406" max="5406" width="10.88671875" style="872" customWidth="1"/>
    <col min="5407" max="5636" width="8" style="872"/>
    <col min="5637" max="5637" width="1.77734375" style="872" customWidth="1"/>
    <col min="5638" max="5639" width="8" style="872"/>
    <col min="5640" max="5642" width="8.33203125" style="872" customWidth="1"/>
    <col min="5643" max="5643" width="26.77734375" style="872" customWidth="1"/>
    <col min="5644" max="5644" width="0.6640625" style="872" customWidth="1"/>
    <col min="5645" max="5647" width="10" style="872" customWidth="1"/>
    <col min="5648" max="5651" width="7.88671875" style="872" hidden="1" customWidth="1"/>
    <col min="5652" max="5652" width="10" style="872" customWidth="1"/>
    <col min="5653" max="5653" width="8.33203125" style="872" customWidth="1"/>
    <col min="5654" max="5654" width="7.109375" style="872" customWidth="1"/>
    <col min="5655" max="5655" width="14.109375" style="872" customWidth="1"/>
    <col min="5656" max="5656" width="6.77734375" style="872" customWidth="1"/>
    <col min="5657" max="5657" width="13.21875" style="872" customWidth="1"/>
    <col min="5658" max="5659" width="7.88671875" style="872" hidden="1" customWidth="1"/>
    <col min="5660" max="5660" width="5.88671875" style="872" customWidth="1"/>
    <col min="5661" max="5661" width="8.88671875" style="872" customWidth="1"/>
    <col min="5662" max="5662" width="10.88671875" style="872" customWidth="1"/>
    <col min="5663" max="5892" width="8" style="872"/>
    <col min="5893" max="5893" width="1.77734375" style="872" customWidth="1"/>
    <col min="5894" max="5895" width="8" style="872"/>
    <col min="5896" max="5898" width="8.33203125" style="872" customWidth="1"/>
    <col min="5899" max="5899" width="26.77734375" style="872" customWidth="1"/>
    <col min="5900" max="5900" width="0.6640625" style="872" customWidth="1"/>
    <col min="5901" max="5903" width="10" style="872" customWidth="1"/>
    <col min="5904" max="5907" width="7.88671875" style="872" hidden="1" customWidth="1"/>
    <col min="5908" max="5908" width="10" style="872" customWidth="1"/>
    <col min="5909" max="5909" width="8.33203125" style="872" customWidth="1"/>
    <col min="5910" max="5910" width="7.109375" style="872" customWidth="1"/>
    <col min="5911" max="5911" width="14.109375" style="872" customWidth="1"/>
    <col min="5912" max="5912" width="6.77734375" style="872" customWidth="1"/>
    <col min="5913" max="5913" width="13.21875" style="872" customWidth="1"/>
    <col min="5914" max="5915" width="7.88671875" style="872" hidden="1" customWidth="1"/>
    <col min="5916" max="5916" width="5.88671875" style="872" customWidth="1"/>
    <col min="5917" max="5917" width="8.88671875" style="872" customWidth="1"/>
    <col min="5918" max="5918" width="10.88671875" style="872" customWidth="1"/>
    <col min="5919" max="6148" width="8" style="872"/>
    <col min="6149" max="6149" width="1.77734375" style="872" customWidth="1"/>
    <col min="6150" max="6151" width="8" style="872"/>
    <col min="6152" max="6154" width="8.33203125" style="872" customWidth="1"/>
    <col min="6155" max="6155" width="26.77734375" style="872" customWidth="1"/>
    <col min="6156" max="6156" width="0.6640625" style="872" customWidth="1"/>
    <col min="6157" max="6159" width="10" style="872" customWidth="1"/>
    <col min="6160" max="6163" width="7.88671875" style="872" hidden="1" customWidth="1"/>
    <col min="6164" max="6164" width="10" style="872" customWidth="1"/>
    <col min="6165" max="6165" width="8.33203125" style="872" customWidth="1"/>
    <col min="6166" max="6166" width="7.109375" style="872" customWidth="1"/>
    <col min="6167" max="6167" width="14.109375" style="872" customWidth="1"/>
    <col min="6168" max="6168" width="6.77734375" style="872" customWidth="1"/>
    <col min="6169" max="6169" width="13.21875" style="872" customWidth="1"/>
    <col min="6170" max="6171" width="7.88671875" style="872" hidden="1" customWidth="1"/>
    <col min="6172" max="6172" width="5.88671875" style="872" customWidth="1"/>
    <col min="6173" max="6173" width="8.88671875" style="872" customWidth="1"/>
    <col min="6174" max="6174" width="10.88671875" style="872" customWidth="1"/>
    <col min="6175" max="6404" width="8" style="872"/>
    <col min="6405" max="6405" width="1.77734375" style="872" customWidth="1"/>
    <col min="6406" max="6407" width="8" style="872"/>
    <col min="6408" max="6410" width="8.33203125" style="872" customWidth="1"/>
    <col min="6411" max="6411" width="26.77734375" style="872" customWidth="1"/>
    <col min="6412" max="6412" width="0.6640625" style="872" customWidth="1"/>
    <col min="6413" max="6415" width="10" style="872" customWidth="1"/>
    <col min="6416" max="6419" width="7.88671875" style="872" hidden="1" customWidth="1"/>
    <col min="6420" max="6420" width="10" style="872" customWidth="1"/>
    <col min="6421" max="6421" width="8.33203125" style="872" customWidth="1"/>
    <col min="6422" max="6422" width="7.109375" style="872" customWidth="1"/>
    <col min="6423" max="6423" width="14.109375" style="872" customWidth="1"/>
    <col min="6424" max="6424" width="6.77734375" style="872" customWidth="1"/>
    <col min="6425" max="6425" width="13.21875" style="872" customWidth="1"/>
    <col min="6426" max="6427" width="7.88671875" style="872" hidden="1" customWidth="1"/>
    <col min="6428" max="6428" width="5.88671875" style="872" customWidth="1"/>
    <col min="6429" max="6429" width="8.88671875" style="872" customWidth="1"/>
    <col min="6430" max="6430" width="10.88671875" style="872" customWidth="1"/>
    <col min="6431" max="6660" width="8" style="872"/>
    <col min="6661" max="6661" width="1.77734375" style="872" customWidth="1"/>
    <col min="6662" max="6663" width="8" style="872"/>
    <col min="6664" max="6666" width="8.33203125" style="872" customWidth="1"/>
    <col min="6667" max="6667" width="26.77734375" style="872" customWidth="1"/>
    <col min="6668" max="6668" width="0.6640625" style="872" customWidth="1"/>
    <col min="6669" max="6671" width="10" style="872" customWidth="1"/>
    <col min="6672" max="6675" width="7.88671875" style="872" hidden="1" customWidth="1"/>
    <col min="6676" max="6676" width="10" style="872" customWidth="1"/>
    <col min="6677" max="6677" width="8.33203125" style="872" customWidth="1"/>
    <col min="6678" max="6678" width="7.109375" style="872" customWidth="1"/>
    <col min="6679" max="6679" width="14.109375" style="872" customWidth="1"/>
    <col min="6680" max="6680" width="6.77734375" style="872" customWidth="1"/>
    <col min="6681" max="6681" width="13.21875" style="872" customWidth="1"/>
    <col min="6682" max="6683" width="7.88671875" style="872" hidden="1" customWidth="1"/>
    <col min="6684" max="6684" width="5.88671875" style="872" customWidth="1"/>
    <col min="6685" max="6685" width="8.88671875" style="872" customWidth="1"/>
    <col min="6686" max="6686" width="10.88671875" style="872" customWidth="1"/>
    <col min="6687" max="6916" width="8" style="872"/>
    <col min="6917" max="6917" width="1.77734375" style="872" customWidth="1"/>
    <col min="6918" max="6919" width="8" style="872"/>
    <col min="6920" max="6922" width="8.33203125" style="872" customWidth="1"/>
    <col min="6923" max="6923" width="26.77734375" style="872" customWidth="1"/>
    <col min="6924" max="6924" width="0.6640625" style="872" customWidth="1"/>
    <col min="6925" max="6927" width="10" style="872" customWidth="1"/>
    <col min="6928" max="6931" width="7.88671875" style="872" hidden="1" customWidth="1"/>
    <col min="6932" max="6932" width="10" style="872" customWidth="1"/>
    <col min="6933" max="6933" width="8.33203125" style="872" customWidth="1"/>
    <col min="6934" max="6934" width="7.109375" style="872" customWidth="1"/>
    <col min="6935" max="6935" width="14.109375" style="872" customWidth="1"/>
    <col min="6936" max="6936" width="6.77734375" style="872" customWidth="1"/>
    <col min="6937" max="6937" width="13.21875" style="872" customWidth="1"/>
    <col min="6938" max="6939" width="7.88671875" style="872" hidden="1" customWidth="1"/>
    <col min="6940" max="6940" width="5.88671875" style="872" customWidth="1"/>
    <col min="6941" max="6941" width="8.88671875" style="872" customWidth="1"/>
    <col min="6942" max="6942" width="10.88671875" style="872" customWidth="1"/>
    <col min="6943" max="7172" width="8" style="872"/>
    <col min="7173" max="7173" width="1.77734375" style="872" customWidth="1"/>
    <col min="7174" max="7175" width="8" style="872"/>
    <col min="7176" max="7178" width="8.33203125" style="872" customWidth="1"/>
    <col min="7179" max="7179" width="26.77734375" style="872" customWidth="1"/>
    <col min="7180" max="7180" width="0.6640625" style="872" customWidth="1"/>
    <col min="7181" max="7183" width="10" style="872" customWidth="1"/>
    <col min="7184" max="7187" width="7.88671875" style="872" hidden="1" customWidth="1"/>
    <col min="7188" max="7188" width="10" style="872" customWidth="1"/>
    <col min="7189" max="7189" width="8.33203125" style="872" customWidth="1"/>
    <col min="7190" max="7190" width="7.109375" style="872" customWidth="1"/>
    <col min="7191" max="7191" width="14.109375" style="872" customWidth="1"/>
    <col min="7192" max="7192" width="6.77734375" style="872" customWidth="1"/>
    <col min="7193" max="7193" width="13.21875" style="872" customWidth="1"/>
    <col min="7194" max="7195" width="7.88671875" style="872" hidden="1" customWidth="1"/>
    <col min="7196" max="7196" width="5.88671875" style="872" customWidth="1"/>
    <col min="7197" max="7197" width="8.88671875" style="872" customWidth="1"/>
    <col min="7198" max="7198" width="10.88671875" style="872" customWidth="1"/>
    <col min="7199" max="7428" width="8" style="872"/>
    <col min="7429" max="7429" width="1.77734375" style="872" customWidth="1"/>
    <col min="7430" max="7431" width="8" style="872"/>
    <col min="7432" max="7434" width="8.33203125" style="872" customWidth="1"/>
    <col min="7435" max="7435" width="26.77734375" style="872" customWidth="1"/>
    <col min="7436" max="7436" width="0.6640625" style="872" customWidth="1"/>
    <col min="7437" max="7439" width="10" style="872" customWidth="1"/>
    <col min="7440" max="7443" width="7.88671875" style="872" hidden="1" customWidth="1"/>
    <col min="7444" max="7444" width="10" style="872" customWidth="1"/>
    <col min="7445" max="7445" width="8.33203125" style="872" customWidth="1"/>
    <col min="7446" max="7446" width="7.109375" style="872" customWidth="1"/>
    <col min="7447" max="7447" width="14.109375" style="872" customWidth="1"/>
    <col min="7448" max="7448" width="6.77734375" style="872" customWidth="1"/>
    <col min="7449" max="7449" width="13.21875" style="872" customWidth="1"/>
    <col min="7450" max="7451" width="7.88671875" style="872" hidden="1" customWidth="1"/>
    <col min="7452" max="7452" width="5.88671875" style="872" customWidth="1"/>
    <col min="7453" max="7453" width="8.88671875" style="872" customWidth="1"/>
    <col min="7454" max="7454" width="10.88671875" style="872" customWidth="1"/>
    <col min="7455" max="7684" width="8" style="872"/>
    <col min="7685" max="7685" width="1.77734375" style="872" customWidth="1"/>
    <col min="7686" max="7687" width="8" style="872"/>
    <col min="7688" max="7690" width="8.33203125" style="872" customWidth="1"/>
    <col min="7691" max="7691" width="26.77734375" style="872" customWidth="1"/>
    <col min="7692" max="7692" width="0.6640625" style="872" customWidth="1"/>
    <col min="7693" max="7695" width="10" style="872" customWidth="1"/>
    <col min="7696" max="7699" width="7.88671875" style="872" hidden="1" customWidth="1"/>
    <col min="7700" max="7700" width="10" style="872" customWidth="1"/>
    <col min="7701" max="7701" width="8.33203125" style="872" customWidth="1"/>
    <col min="7702" max="7702" width="7.109375" style="872" customWidth="1"/>
    <col min="7703" max="7703" width="14.109375" style="872" customWidth="1"/>
    <col min="7704" max="7704" width="6.77734375" style="872" customWidth="1"/>
    <col min="7705" max="7705" width="13.21875" style="872" customWidth="1"/>
    <col min="7706" max="7707" width="7.88671875" style="872" hidden="1" customWidth="1"/>
    <col min="7708" max="7708" width="5.88671875" style="872" customWidth="1"/>
    <col min="7709" max="7709" width="8.88671875" style="872" customWidth="1"/>
    <col min="7710" max="7710" width="10.88671875" style="872" customWidth="1"/>
    <col min="7711" max="7940" width="8" style="872"/>
    <col min="7941" max="7941" width="1.77734375" style="872" customWidth="1"/>
    <col min="7942" max="7943" width="8" style="872"/>
    <col min="7944" max="7946" width="8.33203125" style="872" customWidth="1"/>
    <col min="7947" max="7947" width="26.77734375" style="872" customWidth="1"/>
    <col min="7948" max="7948" width="0.6640625" style="872" customWidth="1"/>
    <col min="7949" max="7951" width="10" style="872" customWidth="1"/>
    <col min="7952" max="7955" width="7.88671875" style="872" hidden="1" customWidth="1"/>
    <col min="7956" max="7956" width="10" style="872" customWidth="1"/>
    <col min="7957" max="7957" width="8.33203125" style="872" customWidth="1"/>
    <col min="7958" max="7958" width="7.109375" style="872" customWidth="1"/>
    <col min="7959" max="7959" width="14.109375" style="872" customWidth="1"/>
    <col min="7960" max="7960" width="6.77734375" style="872" customWidth="1"/>
    <col min="7961" max="7961" width="13.21875" style="872" customWidth="1"/>
    <col min="7962" max="7963" width="7.88671875" style="872" hidden="1" customWidth="1"/>
    <col min="7964" max="7964" width="5.88671875" style="872" customWidth="1"/>
    <col min="7965" max="7965" width="8.88671875" style="872" customWidth="1"/>
    <col min="7966" max="7966" width="10.88671875" style="872" customWidth="1"/>
    <col min="7967" max="8196" width="8" style="872"/>
    <col min="8197" max="8197" width="1.77734375" style="872" customWidth="1"/>
    <col min="8198" max="8199" width="8" style="872"/>
    <col min="8200" max="8202" width="8.33203125" style="872" customWidth="1"/>
    <col min="8203" max="8203" width="26.77734375" style="872" customWidth="1"/>
    <col min="8204" max="8204" width="0.6640625" style="872" customWidth="1"/>
    <col min="8205" max="8207" width="10" style="872" customWidth="1"/>
    <col min="8208" max="8211" width="7.88671875" style="872" hidden="1" customWidth="1"/>
    <col min="8212" max="8212" width="10" style="872" customWidth="1"/>
    <col min="8213" max="8213" width="8.33203125" style="872" customWidth="1"/>
    <col min="8214" max="8214" width="7.109375" style="872" customWidth="1"/>
    <col min="8215" max="8215" width="14.109375" style="872" customWidth="1"/>
    <col min="8216" max="8216" width="6.77734375" style="872" customWidth="1"/>
    <col min="8217" max="8217" width="13.21875" style="872" customWidth="1"/>
    <col min="8218" max="8219" width="7.88671875" style="872" hidden="1" customWidth="1"/>
    <col min="8220" max="8220" width="5.88671875" style="872" customWidth="1"/>
    <col min="8221" max="8221" width="8.88671875" style="872" customWidth="1"/>
    <col min="8222" max="8222" width="10.88671875" style="872" customWidth="1"/>
    <col min="8223" max="8452" width="8" style="872"/>
    <col min="8453" max="8453" width="1.77734375" style="872" customWidth="1"/>
    <col min="8454" max="8455" width="8" style="872"/>
    <col min="8456" max="8458" width="8.33203125" style="872" customWidth="1"/>
    <col min="8459" max="8459" width="26.77734375" style="872" customWidth="1"/>
    <col min="8460" max="8460" width="0.6640625" style="872" customWidth="1"/>
    <col min="8461" max="8463" width="10" style="872" customWidth="1"/>
    <col min="8464" max="8467" width="7.88671875" style="872" hidden="1" customWidth="1"/>
    <col min="8468" max="8468" width="10" style="872" customWidth="1"/>
    <col min="8469" max="8469" width="8.33203125" style="872" customWidth="1"/>
    <col min="8470" max="8470" width="7.109375" style="872" customWidth="1"/>
    <col min="8471" max="8471" width="14.109375" style="872" customWidth="1"/>
    <col min="8472" max="8472" width="6.77734375" style="872" customWidth="1"/>
    <col min="8473" max="8473" width="13.21875" style="872" customWidth="1"/>
    <col min="8474" max="8475" width="7.88671875" style="872" hidden="1" customWidth="1"/>
    <col min="8476" max="8476" width="5.88671875" style="872" customWidth="1"/>
    <col min="8477" max="8477" width="8.88671875" style="872" customWidth="1"/>
    <col min="8478" max="8478" width="10.88671875" style="872" customWidth="1"/>
    <col min="8479" max="8708" width="8" style="872"/>
    <col min="8709" max="8709" width="1.77734375" style="872" customWidth="1"/>
    <col min="8710" max="8711" width="8" style="872"/>
    <col min="8712" max="8714" width="8.33203125" style="872" customWidth="1"/>
    <col min="8715" max="8715" width="26.77734375" style="872" customWidth="1"/>
    <col min="8716" max="8716" width="0.6640625" style="872" customWidth="1"/>
    <col min="8717" max="8719" width="10" style="872" customWidth="1"/>
    <col min="8720" max="8723" width="7.88671875" style="872" hidden="1" customWidth="1"/>
    <col min="8724" max="8724" width="10" style="872" customWidth="1"/>
    <col min="8725" max="8725" width="8.33203125" style="872" customWidth="1"/>
    <col min="8726" max="8726" width="7.109375" style="872" customWidth="1"/>
    <col min="8727" max="8727" width="14.109375" style="872" customWidth="1"/>
    <col min="8728" max="8728" width="6.77734375" style="872" customWidth="1"/>
    <col min="8729" max="8729" width="13.21875" style="872" customWidth="1"/>
    <col min="8730" max="8731" width="7.88671875" style="872" hidden="1" customWidth="1"/>
    <col min="8732" max="8732" width="5.88671875" style="872" customWidth="1"/>
    <col min="8733" max="8733" width="8.88671875" style="872" customWidth="1"/>
    <col min="8734" max="8734" width="10.88671875" style="872" customWidth="1"/>
    <col min="8735" max="8964" width="8" style="872"/>
    <col min="8965" max="8965" width="1.77734375" style="872" customWidth="1"/>
    <col min="8966" max="8967" width="8" style="872"/>
    <col min="8968" max="8970" width="8.33203125" style="872" customWidth="1"/>
    <col min="8971" max="8971" width="26.77734375" style="872" customWidth="1"/>
    <col min="8972" max="8972" width="0.6640625" style="872" customWidth="1"/>
    <col min="8973" max="8975" width="10" style="872" customWidth="1"/>
    <col min="8976" max="8979" width="7.88671875" style="872" hidden="1" customWidth="1"/>
    <col min="8980" max="8980" width="10" style="872" customWidth="1"/>
    <col min="8981" max="8981" width="8.33203125" style="872" customWidth="1"/>
    <col min="8982" max="8982" width="7.109375" style="872" customWidth="1"/>
    <col min="8983" max="8983" width="14.109375" style="872" customWidth="1"/>
    <col min="8984" max="8984" width="6.77734375" style="872" customWidth="1"/>
    <col min="8985" max="8985" width="13.21875" style="872" customWidth="1"/>
    <col min="8986" max="8987" width="7.88671875" style="872" hidden="1" customWidth="1"/>
    <col min="8988" max="8988" width="5.88671875" style="872" customWidth="1"/>
    <col min="8989" max="8989" width="8.88671875" style="872" customWidth="1"/>
    <col min="8990" max="8990" width="10.88671875" style="872" customWidth="1"/>
    <col min="8991" max="9220" width="8" style="872"/>
    <col min="9221" max="9221" width="1.77734375" style="872" customWidth="1"/>
    <col min="9222" max="9223" width="8" style="872"/>
    <col min="9224" max="9226" width="8.33203125" style="872" customWidth="1"/>
    <col min="9227" max="9227" width="26.77734375" style="872" customWidth="1"/>
    <col min="9228" max="9228" width="0.6640625" style="872" customWidth="1"/>
    <col min="9229" max="9231" width="10" style="872" customWidth="1"/>
    <col min="9232" max="9235" width="7.88671875" style="872" hidden="1" customWidth="1"/>
    <col min="9236" max="9236" width="10" style="872" customWidth="1"/>
    <col min="9237" max="9237" width="8.33203125" style="872" customWidth="1"/>
    <col min="9238" max="9238" width="7.109375" style="872" customWidth="1"/>
    <col min="9239" max="9239" width="14.109375" style="872" customWidth="1"/>
    <col min="9240" max="9240" width="6.77734375" style="872" customWidth="1"/>
    <col min="9241" max="9241" width="13.21875" style="872" customWidth="1"/>
    <col min="9242" max="9243" width="7.88671875" style="872" hidden="1" customWidth="1"/>
    <col min="9244" max="9244" width="5.88671875" style="872" customWidth="1"/>
    <col min="9245" max="9245" width="8.88671875" style="872" customWidth="1"/>
    <col min="9246" max="9246" width="10.88671875" style="872" customWidth="1"/>
    <col min="9247" max="9476" width="8" style="872"/>
    <col min="9477" max="9477" width="1.77734375" style="872" customWidth="1"/>
    <col min="9478" max="9479" width="8" style="872"/>
    <col min="9480" max="9482" width="8.33203125" style="872" customWidth="1"/>
    <col min="9483" max="9483" width="26.77734375" style="872" customWidth="1"/>
    <col min="9484" max="9484" width="0.6640625" style="872" customWidth="1"/>
    <col min="9485" max="9487" width="10" style="872" customWidth="1"/>
    <col min="9488" max="9491" width="7.88671875" style="872" hidden="1" customWidth="1"/>
    <col min="9492" max="9492" width="10" style="872" customWidth="1"/>
    <col min="9493" max="9493" width="8.33203125" style="872" customWidth="1"/>
    <col min="9494" max="9494" width="7.109375" style="872" customWidth="1"/>
    <col min="9495" max="9495" width="14.109375" style="872" customWidth="1"/>
    <col min="9496" max="9496" width="6.77734375" style="872" customWidth="1"/>
    <col min="9497" max="9497" width="13.21875" style="872" customWidth="1"/>
    <col min="9498" max="9499" width="7.88671875" style="872" hidden="1" customWidth="1"/>
    <col min="9500" max="9500" width="5.88671875" style="872" customWidth="1"/>
    <col min="9501" max="9501" width="8.88671875" style="872" customWidth="1"/>
    <col min="9502" max="9502" width="10.88671875" style="872" customWidth="1"/>
    <col min="9503" max="9732" width="8" style="872"/>
    <col min="9733" max="9733" width="1.77734375" style="872" customWidth="1"/>
    <col min="9734" max="9735" width="8" style="872"/>
    <col min="9736" max="9738" width="8.33203125" style="872" customWidth="1"/>
    <col min="9739" max="9739" width="26.77734375" style="872" customWidth="1"/>
    <col min="9740" max="9740" width="0.6640625" style="872" customWidth="1"/>
    <col min="9741" max="9743" width="10" style="872" customWidth="1"/>
    <col min="9744" max="9747" width="7.88671875" style="872" hidden="1" customWidth="1"/>
    <col min="9748" max="9748" width="10" style="872" customWidth="1"/>
    <col min="9749" max="9749" width="8.33203125" style="872" customWidth="1"/>
    <col min="9750" max="9750" width="7.109375" style="872" customWidth="1"/>
    <col min="9751" max="9751" width="14.109375" style="872" customWidth="1"/>
    <col min="9752" max="9752" width="6.77734375" style="872" customWidth="1"/>
    <col min="9753" max="9753" width="13.21875" style="872" customWidth="1"/>
    <col min="9754" max="9755" width="7.88671875" style="872" hidden="1" customWidth="1"/>
    <col min="9756" max="9756" width="5.88671875" style="872" customWidth="1"/>
    <col min="9757" max="9757" width="8.88671875" style="872" customWidth="1"/>
    <col min="9758" max="9758" width="10.88671875" style="872" customWidth="1"/>
    <col min="9759" max="9988" width="8" style="872"/>
    <col min="9989" max="9989" width="1.77734375" style="872" customWidth="1"/>
    <col min="9990" max="9991" width="8" style="872"/>
    <col min="9992" max="9994" width="8.33203125" style="872" customWidth="1"/>
    <col min="9995" max="9995" width="26.77734375" style="872" customWidth="1"/>
    <col min="9996" max="9996" width="0.6640625" style="872" customWidth="1"/>
    <col min="9997" max="9999" width="10" style="872" customWidth="1"/>
    <col min="10000" max="10003" width="7.88671875" style="872" hidden="1" customWidth="1"/>
    <col min="10004" max="10004" width="10" style="872" customWidth="1"/>
    <col min="10005" max="10005" width="8.33203125" style="872" customWidth="1"/>
    <col min="10006" max="10006" width="7.109375" style="872" customWidth="1"/>
    <col min="10007" max="10007" width="14.109375" style="872" customWidth="1"/>
    <col min="10008" max="10008" width="6.77734375" style="872" customWidth="1"/>
    <col min="10009" max="10009" width="13.21875" style="872" customWidth="1"/>
    <col min="10010" max="10011" width="7.88671875" style="872" hidden="1" customWidth="1"/>
    <col min="10012" max="10012" width="5.88671875" style="872" customWidth="1"/>
    <col min="10013" max="10013" width="8.88671875" style="872" customWidth="1"/>
    <col min="10014" max="10014" width="10.88671875" style="872" customWidth="1"/>
    <col min="10015" max="10244" width="8" style="872"/>
    <col min="10245" max="10245" width="1.77734375" style="872" customWidth="1"/>
    <col min="10246" max="10247" width="8" style="872"/>
    <col min="10248" max="10250" width="8.33203125" style="872" customWidth="1"/>
    <col min="10251" max="10251" width="26.77734375" style="872" customWidth="1"/>
    <col min="10252" max="10252" width="0.6640625" style="872" customWidth="1"/>
    <col min="10253" max="10255" width="10" style="872" customWidth="1"/>
    <col min="10256" max="10259" width="7.88671875" style="872" hidden="1" customWidth="1"/>
    <col min="10260" max="10260" width="10" style="872" customWidth="1"/>
    <col min="10261" max="10261" width="8.33203125" style="872" customWidth="1"/>
    <col min="10262" max="10262" width="7.109375" style="872" customWidth="1"/>
    <col min="10263" max="10263" width="14.109375" style="872" customWidth="1"/>
    <col min="10264" max="10264" width="6.77734375" style="872" customWidth="1"/>
    <col min="10265" max="10265" width="13.21875" style="872" customWidth="1"/>
    <col min="10266" max="10267" width="7.88671875" style="872" hidden="1" customWidth="1"/>
    <col min="10268" max="10268" width="5.88671875" style="872" customWidth="1"/>
    <col min="10269" max="10269" width="8.88671875" style="872" customWidth="1"/>
    <col min="10270" max="10270" width="10.88671875" style="872" customWidth="1"/>
    <col min="10271" max="10500" width="8" style="872"/>
    <col min="10501" max="10501" width="1.77734375" style="872" customWidth="1"/>
    <col min="10502" max="10503" width="8" style="872"/>
    <col min="10504" max="10506" width="8.33203125" style="872" customWidth="1"/>
    <col min="10507" max="10507" width="26.77734375" style="872" customWidth="1"/>
    <col min="10508" max="10508" width="0.6640625" style="872" customWidth="1"/>
    <col min="10509" max="10511" width="10" style="872" customWidth="1"/>
    <col min="10512" max="10515" width="7.88671875" style="872" hidden="1" customWidth="1"/>
    <col min="10516" max="10516" width="10" style="872" customWidth="1"/>
    <col min="10517" max="10517" width="8.33203125" style="872" customWidth="1"/>
    <col min="10518" max="10518" width="7.109375" style="872" customWidth="1"/>
    <col min="10519" max="10519" width="14.109375" style="872" customWidth="1"/>
    <col min="10520" max="10520" width="6.77734375" style="872" customWidth="1"/>
    <col min="10521" max="10521" width="13.21875" style="872" customWidth="1"/>
    <col min="10522" max="10523" width="7.88671875" style="872" hidden="1" customWidth="1"/>
    <col min="10524" max="10524" width="5.88671875" style="872" customWidth="1"/>
    <col min="10525" max="10525" width="8.88671875" style="872" customWidth="1"/>
    <col min="10526" max="10526" width="10.88671875" style="872" customWidth="1"/>
    <col min="10527" max="10756" width="8" style="872"/>
    <col min="10757" max="10757" width="1.77734375" style="872" customWidth="1"/>
    <col min="10758" max="10759" width="8" style="872"/>
    <col min="10760" max="10762" width="8.33203125" style="872" customWidth="1"/>
    <col min="10763" max="10763" width="26.77734375" style="872" customWidth="1"/>
    <col min="10764" max="10764" width="0.6640625" style="872" customWidth="1"/>
    <col min="10765" max="10767" width="10" style="872" customWidth="1"/>
    <col min="10768" max="10771" width="7.88671875" style="872" hidden="1" customWidth="1"/>
    <col min="10772" max="10772" width="10" style="872" customWidth="1"/>
    <col min="10773" max="10773" width="8.33203125" style="872" customWidth="1"/>
    <col min="10774" max="10774" width="7.109375" style="872" customWidth="1"/>
    <col min="10775" max="10775" width="14.109375" style="872" customWidth="1"/>
    <col min="10776" max="10776" width="6.77734375" style="872" customWidth="1"/>
    <col min="10777" max="10777" width="13.21875" style="872" customWidth="1"/>
    <col min="10778" max="10779" width="7.88671875" style="872" hidden="1" customWidth="1"/>
    <col min="10780" max="10780" width="5.88671875" style="872" customWidth="1"/>
    <col min="10781" max="10781" width="8.88671875" style="872" customWidth="1"/>
    <col min="10782" max="10782" width="10.88671875" style="872" customWidth="1"/>
    <col min="10783" max="11012" width="8" style="872"/>
    <col min="11013" max="11013" width="1.77734375" style="872" customWidth="1"/>
    <col min="11014" max="11015" width="8" style="872"/>
    <col min="11016" max="11018" width="8.33203125" style="872" customWidth="1"/>
    <col min="11019" max="11019" width="26.77734375" style="872" customWidth="1"/>
    <col min="11020" max="11020" width="0.6640625" style="872" customWidth="1"/>
    <col min="11021" max="11023" width="10" style="872" customWidth="1"/>
    <col min="11024" max="11027" width="7.88671875" style="872" hidden="1" customWidth="1"/>
    <col min="11028" max="11028" width="10" style="872" customWidth="1"/>
    <col min="11029" max="11029" width="8.33203125" style="872" customWidth="1"/>
    <col min="11030" max="11030" width="7.109375" style="872" customWidth="1"/>
    <col min="11031" max="11031" width="14.109375" style="872" customWidth="1"/>
    <col min="11032" max="11032" width="6.77734375" style="872" customWidth="1"/>
    <col min="11033" max="11033" width="13.21875" style="872" customWidth="1"/>
    <col min="11034" max="11035" width="7.88671875" style="872" hidden="1" customWidth="1"/>
    <col min="11036" max="11036" width="5.88671875" style="872" customWidth="1"/>
    <col min="11037" max="11037" width="8.88671875" style="872" customWidth="1"/>
    <col min="11038" max="11038" width="10.88671875" style="872" customWidth="1"/>
    <col min="11039" max="11268" width="8" style="872"/>
    <col min="11269" max="11269" width="1.77734375" style="872" customWidth="1"/>
    <col min="11270" max="11271" width="8" style="872"/>
    <col min="11272" max="11274" width="8.33203125" style="872" customWidth="1"/>
    <col min="11275" max="11275" width="26.77734375" style="872" customWidth="1"/>
    <col min="11276" max="11276" width="0.6640625" style="872" customWidth="1"/>
    <col min="11277" max="11279" width="10" style="872" customWidth="1"/>
    <col min="11280" max="11283" width="7.88671875" style="872" hidden="1" customWidth="1"/>
    <col min="11284" max="11284" width="10" style="872" customWidth="1"/>
    <col min="11285" max="11285" width="8.33203125" style="872" customWidth="1"/>
    <col min="11286" max="11286" width="7.109375" style="872" customWidth="1"/>
    <col min="11287" max="11287" width="14.109375" style="872" customWidth="1"/>
    <col min="11288" max="11288" width="6.77734375" style="872" customWidth="1"/>
    <col min="11289" max="11289" width="13.21875" style="872" customWidth="1"/>
    <col min="11290" max="11291" width="7.88671875" style="872" hidden="1" customWidth="1"/>
    <col min="11292" max="11292" width="5.88671875" style="872" customWidth="1"/>
    <col min="11293" max="11293" width="8.88671875" style="872" customWidth="1"/>
    <col min="11294" max="11294" width="10.88671875" style="872" customWidth="1"/>
    <col min="11295" max="11524" width="8" style="872"/>
    <col min="11525" max="11525" width="1.77734375" style="872" customWidth="1"/>
    <col min="11526" max="11527" width="8" style="872"/>
    <col min="11528" max="11530" width="8.33203125" style="872" customWidth="1"/>
    <col min="11531" max="11531" width="26.77734375" style="872" customWidth="1"/>
    <col min="11532" max="11532" width="0.6640625" style="872" customWidth="1"/>
    <col min="11533" max="11535" width="10" style="872" customWidth="1"/>
    <col min="11536" max="11539" width="7.88671875" style="872" hidden="1" customWidth="1"/>
    <col min="11540" max="11540" width="10" style="872" customWidth="1"/>
    <col min="11541" max="11541" width="8.33203125" style="872" customWidth="1"/>
    <col min="11542" max="11542" width="7.109375" style="872" customWidth="1"/>
    <col min="11543" max="11543" width="14.109375" style="872" customWidth="1"/>
    <col min="11544" max="11544" width="6.77734375" style="872" customWidth="1"/>
    <col min="11545" max="11545" width="13.21875" style="872" customWidth="1"/>
    <col min="11546" max="11547" width="7.88671875" style="872" hidden="1" customWidth="1"/>
    <col min="11548" max="11548" width="5.88671875" style="872" customWidth="1"/>
    <col min="11549" max="11549" width="8.88671875" style="872" customWidth="1"/>
    <col min="11550" max="11550" width="10.88671875" style="872" customWidth="1"/>
    <col min="11551" max="11780" width="8" style="872"/>
    <col min="11781" max="11781" width="1.77734375" style="872" customWidth="1"/>
    <col min="11782" max="11783" width="8" style="872"/>
    <col min="11784" max="11786" width="8.33203125" style="872" customWidth="1"/>
    <col min="11787" max="11787" width="26.77734375" style="872" customWidth="1"/>
    <col min="11788" max="11788" width="0.6640625" style="872" customWidth="1"/>
    <col min="11789" max="11791" width="10" style="872" customWidth="1"/>
    <col min="11792" max="11795" width="7.88671875" style="872" hidden="1" customWidth="1"/>
    <col min="11796" max="11796" width="10" style="872" customWidth="1"/>
    <col min="11797" max="11797" width="8.33203125" style="872" customWidth="1"/>
    <col min="11798" max="11798" width="7.109375" style="872" customWidth="1"/>
    <col min="11799" max="11799" width="14.109375" style="872" customWidth="1"/>
    <col min="11800" max="11800" width="6.77734375" style="872" customWidth="1"/>
    <col min="11801" max="11801" width="13.21875" style="872" customWidth="1"/>
    <col min="11802" max="11803" width="7.88671875" style="872" hidden="1" customWidth="1"/>
    <col min="11804" max="11804" width="5.88671875" style="872" customWidth="1"/>
    <col min="11805" max="11805" width="8.88671875" style="872" customWidth="1"/>
    <col min="11806" max="11806" width="10.88671875" style="872" customWidth="1"/>
    <col min="11807" max="12036" width="8" style="872"/>
    <col min="12037" max="12037" width="1.77734375" style="872" customWidth="1"/>
    <col min="12038" max="12039" width="8" style="872"/>
    <col min="12040" max="12042" width="8.33203125" style="872" customWidth="1"/>
    <col min="12043" max="12043" width="26.77734375" style="872" customWidth="1"/>
    <col min="12044" max="12044" width="0.6640625" style="872" customWidth="1"/>
    <col min="12045" max="12047" width="10" style="872" customWidth="1"/>
    <col min="12048" max="12051" width="7.88671875" style="872" hidden="1" customWidth="1"/>
    <col min="12052" max="12052" width="10" style="872" customWidth="1"/>
    <col min="12053" max="12053" width="8.33203125" style="872" customWidth="1"/>
    <col min="12054" max="12054" width="7.109375" style="872" customWidth="1"/>
    <col min="12055" max="12055" width="14.109375" style="872" customWidth="1"/>
    <col min="12056" max="12056" width="6.77734375" style="872" customWidth="1"/>
    <col min="12057" max="12057" width="13.21875" style="872" customWidth="1"/>
    <col min="12058" max="12059" width="7.88671875" style="872" hidden="1" customWidth="1"/>
    <col min="12060" max="12060" width="5.88671875" style="872" customWidth="1"/>
    <col min="12061" max="12061" width="8.88671875" style="872" customWidth="1"/>
    <col min="12062" max="12062" width="10.88671875" style="872" customWidth="1"/>
    <col min="12063" max="12292" width="8" style="872"/>
    <col min="12293" max="12293" width="1.77734375" style="872" customWidth="1"/>
    <col min="12294" max="12295" width="8" style="872"/>
    <col min="12296" max="12298" width="8.33203125" style="872" customWidth="1"/>
    <col min="12299" max="12299" width="26.77734375" style="872" customWidth="1"/>
    <col min="12300" max="12300" width="0.6640625" style="872" customWidth="1"/>
    <col min="12301" max="12303" width="10" style="872" customWidth="1"/>
    <col min="12304" max="12307" width="7.88671875" style="872" hidden="1" customWidth="1"/>
    <col min="12308" max="12308" width="10" style="872" customWidth="1"/>
    <col min="12309" max="12309" width="8.33203125" style="872" customWidth="1"/>
    <col min="12310" max="12310" width="7.109375" style="872" customWidth="1"/>
    <col min="12311" max="12311" width="14.109375" style="872" customWidth="1"/>
    <col min="12312" max="12312" width="6.77734375" style="872" customWidth="1"/>
    <col min="12313" max="12313" width="13.21875" style="872" customWidth="1"/>
    <col min="12314" max="12315" width="7.88671875" style="872" hidden="1" customWidth="1"/>
    <col min="12316" max="12316" width="5.88671875" style="872" customWidth="1"/>
    <col min="12317" max="12317" width="8.88671875" style="872" customWidth="1"/>
    <col min="12318" max="12318" width="10.88671875" style="872" customWidth="1"/>
    <col min="12319" max="12548" width="8" style="872"/>
    <col min="12549" max="12549" width="1.77734375" style="872" customWidth="1"/>
    <col min="12550" max="12551" width="8" style="872"/>
    <col min="12552" max="12554" width="8.33203125" style="872" customWidth="1"/>
    <col min="12555" max="12555" width="26.77734375" style="872" customWidth="1"/>
    <col min="12556" max="12556" width="0.6640625" style="872" customWidth="1"/>
    <col min="12557" max="12559" width="10" style="872" customWidth="1"/>
    <col min="12560" max="12563" width="7.88671875" style="872" hidden="1" customWidth="1"/>
    <col min="12564" max="12564" width="10" style="872" customWidth="1"/>
    <col min="12565" max="12565" width="8.33203125" style="872" customWidth="1"/>
    <col min="12566" max="12566" width="7.109375" style="872" customWidth="1"/>
    <col min="12567" max="12567" width="14.109375" style="872" customWidth="1"/>
    <col min="12568" max="12568" width="6.77734375" style="872" customWidth="1"/>
    <col min="12569" max="12569" width="13.21875" style="872" customWidth="1"/>
    <col min="12570" max="12571" width="7.88671875" style="872" hidden="1" customWidth="1"/>
    <col min="12572" max="12572" width="5.88671875" style="872" customWidth="1"/>
    <col min="12573" max="12573" width="8.88671875" style="872" customWidth="1"/>
    <col min="12574" max="12574" width="10.88671875" style="872" customWidth="1"/>
    <col min="12575" max="12804" width="8" style="872"/>
    <col min="12805" max="12805" width="1.77734375" style="872" customWidth="1"/>
    <col min="12806" max="12807" width="8" style="872"/>
    <col min="12808" max="12810" width="8.33203125" style="872" customWidth="1"/>
    <col min="12811" max="12811" width="26.77734375" style="872" customWidth="1"/>
    <col min="12812" max="12812" width="0.6640625" style="872" customWidth="1"/>
    <col min="12813" max="12815" width="10" style="872" customWidth="1"/>
    <col min="12816" max="12819" width="7.88671875" style="872" hidden="1" customWidth="1"/>
    <col min="12820" max="12820" width="10" style="872" customWidth="1"/>
    <col min="12821" max="12821" width="8.33203125" style="872" customWidth="1"/>
    <col min="12822" max="12822" width="7.109375" style="872" customWidth="1"/>
    <col min="12823" max="12823" width="14.109375" style="872" customWidth="1"/>
    <col min="12824" max="12824" width="6.77734375" style="872" customWidth="1"/>
    <col min="12825" max="12825" width="13.21875" style="872" customWidth="1"/>
    <col min="12826" max="12827" width="7.88671875" style="872" hidden="1" customWidth="1"/>
    <col min="12828" max="12828" width="5.88671875" style="872" customWidth="1"/>
    <col min="12829" max="12829" width="8.88671875" style="872" customWidth="1"/>
    <col min="12830" max="12830" width="10.88671875" style="872" customWidth="1"/>
    <col min="12831" max="13060" width="8" style="872"/>
    <col min="13061" max="13061" width="1.77734375" style="872" customWidth="1"/>
    <col min="13062" max="13063" width="8" style="872"/>
    <col min="13064" max="13066" width="8.33203125" style="872" customWidth="1"/>
    <col min="13067" max="13067" width="26.77734375" style="872" customWidth="1"/>
    <col min="13068" max="13068" width="0.6640625" style="872" customWidth="1"/>
    <col min="13069" max="13071" width="10" style="872" customWidth="1"/>
    <col min="13072" max="13075" width="7.88671875" style="872" hidden="1" customWidth="1"/>
    <col min="13076" max="13076" width="10" style="872" customWidth="1"/>
    <col min="13077" max="13077" width="8.33203125" style="872" customWidth="1"/>
    <col min="13078" max="13078" width="7.109375" style="872" customWidth="1"/>
    <col min="13079" max="13079" width="14.109375" style="872" customWidth="1"/>
    <col min="13080" max="13080" width="6.77734375" style="872" customWidth="1"/>
    <col min="13081" max="13081" width="13.21875" style="872" customWidth="1"/>
    <col min="13082" max="13083" width="7.88671875" style="872" hidden="1" customWidth="1"/>
    <col min="13084" max="13084" width="5.88671875" style="872" customWidth="1"/>
    <col min="13085" max="13085" width="8.88671875" style="872" customWidth="1"/>
    <col min="13086" max="13086" width="10.88671875" style="872" customWidth="1"/>
    <col min="13087" max="13316" width="8" style="872"/>
    <col min="13317" max="13317" width="1.77734375" style="872" customWidth="1"/>
    <col min="13318" max="13319" width="8" style="872"/>
    <col min="13320" max="13322" width="8.33203125" style="872" customWidth="1"/>
    <col min="13323" max="13323" width="26.77734375" style="872" customWidth="1"/>
    <col min="13324" max="13324" width="0.6640625" style="872" customWidth="1"/>
    <col min="13325" max="13327" width="10" style="872" customWidth="1"/>
    <col min="13328" max="13331" width="7.88671875" style="872" hidden="1" customWidth="1"/>
    <col min="13332" max="13332" width="10" style="872" customWidth="1"/>
    <col min="13333" max="13333" width="8.33203125" style="872" customWidth="1"/>
    <col min="13334" max="13334" width="7.109375" style="872" customWidth="1"/>
    <col min="13335" max="13335" width="14.109375" style="872" customWidth="1"/>
    <col min="13336" max="13336" width="6.77734375" style="872" customWidth="1"/>
    <col min="13337" max="13337" width="13.21875" style="872" customWidth="1"/>
    <col min="13338" max="13339" width="7.88671875" style="872" hidden="1" customWidth="1"/>
    <col min="13340" max="13340" width="5.88671875" style="872" customWidth="1"/>
    <col min="13341" max="13341" width="8.88671875" style="872" customWidth="1"/>
    <col min="13342" max="13342" width="10.88671875" style="872" customWidth="1"/>
    <col min="13343" max="13572" width="8" style="872"/>
    <col min="13573" max="13573" width="1.77734375" style="872" customWidth="1"/>
    <col min="13574" max="13575" width="8" style="872"/>
    <col min="13576" max="13578" width="8.33203125" style="872" customWidth="1"/>
    <col min="13579" max="13579" width="26.77734375" style="872" customWidth="1"/>
    <col min="13580" max="13580" width="0.6640625" style="872" customWidth="1"/>
    <col min="13581" max="13583" width="10" style="872" customWidth="1"/>
    <col min="13584" max="13587" width="7.88671875" style="872" hidden="1" customWidth="1"/>
    <col min="13588" max="13588" width="10" style="872" customWidth="1"/>
    <col min="13589" max="13589" width="8.33203125" style="872" customWidth="1"/>
    <col min="13590" max="13590" width="7.109375" style="872" customWidth="1"/>
    <col min="13591" max="13591" width="14.109375" style="872" customWidth="1"/>
    <col min="13592" max="13592" width="6.77734375" style="872" customWidth="1"/>
    <col min="13593" max="13593" width="13.21875" style="872" customWidth="1"/>
    <col min="13594" max="13595" width="7.88671875" style="872" hidden="1" customWidth="1"/>
    <col min="13596" max="13596" width="5.88671875" style="872" customWidth="1"/>
    <col min="13597" max="13597" width="8.88671875" style="872" customWidth="1"/>
    <col min="13598" max="13598" width="10.88671875" style="872" customWidth="1"/>
    <col min="13599" max="13828" width="8" style="872"/>
    <col min="13829" max="13829" width="1.77734375" style="872" customWidth="1"/>
    <col min="13830" max="13831" width="8" style="872"/>
    <col min="13832" max="13834" width="8.33203125" style="872" customWidth="1"/>
    <col min="13835" max="13835" width="26.77734375" style="872" customWidth="1"/>
    <col min="13836" max="13836" width="0.6640625" style="872" customWidth="1"/>
    <col min="13837" max="13839" width="10" style="872" customWidth="1"/>
    <col min="13840" max="13843" width="7.88671875" style="872" hidden="1" customWidth="1"/>
    <col min="13844" max="13844" width="10" style="872" customWidth="1"/>
    <col min="13845" max="13845" width="8.33203125" style="872" customWidth="1"/>
    <col min="13846" max="13846" width="7.109375" style="872" customWidth="1"/>
    <col min="13847" max="13847" width="14.109375" style="872" customWidth="1"/>
    <col min="13848" max="13848" width="6.77734375" style="872" customWidth="1"/>
    <col min="13849" max="13849" width="13.21875" style="872" customWidth="1"/>
    <col min="13850" max="13851" width="7.88671875" style="872" hidden="1" customWidth="1"/>
    <col min="13852" max="13852" width="5.88671875" style="872" customWidth="1"/>
    <col min="13853" max="13853" width="8.88671875" style="872" customWidth="1"/>
    <col min="13854" max="13854" width="10.88671875" style="872" customWidth="1"/>
    <col min="13855" max="14084" width="8" style="872"/>
    <col min="14085" max="14085" width="1.77734375" style="872" customWidth="1"/>
    <col min="14086" max="14087" width="8" style="872"/>
    <col min="14088" max="14090" width="8.33203125" style="872" customWidth="1"/>
    <col min="14091" max="14091" width="26.77734375" style="872" customWidth="1"/>
    <col min="14092" max="14092" width="0.6640625" style="872" customWidth="1"/>
    <col min="14093" max="14095" width="10" style="872" customWidth="1"/>
    <col min="14096" max="14099" width="7.88671875" style="872" hidden="1" customWidth="1"/>
    <col min="14100" max="14100" width="10" style="872" customWidth="1"/>
    <col min="14101" max="14101" width="8.33203125" style="872" customWidth="1"/>
    <col min="14102" max="14102" width="7.109375" style="872" customWidth="1"/>
    <col min="14103" max="14103" width="14.109375" style="872" customWidth="1"/>
    <col min="14104" max="14104" width="6.77734375" style="872" customWidth="1"/>
    <col min="14105" max="14105" width="13.21875" style="872" customWidth="1"/>
    <col min="14106" max="14107" width="7.88671875" style="872" hidden="1" customWidth="1"/>
    <col min="14108" max="14108" width="5.88671875" style="872" customWidth="1"/>
    <col min="14109" max="14109" width="8.88671875" style="872" customWidth="1"/>
    <col min="14110" max="14110" width="10.88671875" style="872" customWidth="1"/>
    <col min="14111" max="14340" width="8" style="872"/>
    <col min="14341" max="14341" width="1.77734375" style="872" customWidth="1"/>
    <col min="14342" max="14343" width="8" style="872"/>
    <col min="14344" max="14346" width="8.33203125" style="872" customWidth="1"/>
    <col min="14347" max="14347" width="26.77734375" style="872" customWidth="1"/>
    <col min="14348" max="14348" width="0.6640625" style="872" customWidth="1"/>
    <col min="14349" max="14351" width="10" style="872" customWidth="1"/>
    <col min="14352" max="14355" width="7.88671875" style="872" hidden="1" customWidth="1"/>
    <col min="14356" max="14356" width="10" style="872" customWidth="1"/>
    <col min="14357" max="14357" width="8.33203125" style="872" customWidth="1"/>
    <col min="14358" max="14358" width="7.109375" style="872" customWidth="1"/>
    <col min="14359" max="14359" width="14.109375" style="872" customWidth="1"/>
    <col min="14360" max="14360" width="6.77734375" style="872" customWidth="1"/>
    <col min="14361" max="14361" width="13.21875" style="872" customWidth="1"/>
    <col min="14362" max="14363" width="7.88671875" style="872" hidden="1" customWidth="1"/>
    <col min="14364" max="14364" width="5.88671875" style="872" customWidth="1"/>
    <col min="14365" max="14365" width="8.88671875" style="872" customWidth="1"/>
    <col min="14366" max="14366" width="10.88671875" style="872" customWidth="1"/>
    <col min="14367" max="14596" width="8" style="872"/>
    <col min="14597" max="14597" width="1.77734375" style="872" customWidth="1"/>
    <col min="14598" max="14599" width="8" style="872"/>
    <col min="14600" max="14602" width="8.33203125" style="872" customWidth="1"/>
    <col min="14603" max="14603" width="26.77734375" style="872" customWidth="1"/>
    <col min="14604" max="14604" width="0.6640625" style="872" customWidth="1"/>
    <col min="14605" max="14607" width="10" style="872" customWidth="1"/>
    <col min="14608" max="14611" width="7.88671875" style="872" hidden="1" customWidth="1"/>
    <col min="14612" max="14612" width="10" style="872" customWidth="1"/>
    <col min="14613" max="14613" width="8.33203125" style="872" customWidth="1"/>
    <col min="14614" max="14614" width="7.109375" style="872" customWidth="1"/>
    <col min="14615" max="14615" width="14.109375" style="872" customWidth="1"/>
    <col min="14616" max="14616" width="6.77734375" style="872" customWidth="1"/>
    <col min="14617" max="14617" width="13.21875" style="872" customWidth="1"/>
    <col min="14618" max="14619" width="7.88671875" style="872" hidden="1" customWidth="1"/>
    <col min="14620" max="14620" width="5.88671875" style="872" customWidth="1"/>
    <col min="14621" max="14621" width="8.88671875" style="872" customWidth="1"/>
    <col min="14622" max="14622" width="10.88671875" style="872" customWidth="1"/>
    <col min="14623" max="14852" width="8" style="872"/>
    <col min="14853" max="14853" width="1.77734375" style="872" customWidth="1"/>
    <col min="14854" max="14855" width="8" style="872"/>
    <col min="14856" max="14858" width="8.33203125" style="872" customWidth="1"/>
    <col min="14859" max="14859" width="26.77734375" style="872" customWidth="1"/>
    <col min="14860" max="14860" width="0.6640625" style="872" customWidth="1"/>
    <col min="14861" max="14863" width="10" style="872" customWidth="1"/>
    <col min="14864" max="14867" width="7.88671875" style="872" hidden="1" customWidth="1"/>
    <col min="14868" max="14868" width="10" style="872" customWidth="1"/>
    <col min="14869" max="14869" width="8.33203125" style="872" customWidth="1"/>
    <col min="14870" max="14870" width="7.109375" style="872" customWidth="1"/>
    <col min="14871" max="14871" width="14.109375" style="872" customWidth="1"/>
    <col min="14872" max="14872" width="6.77734375" style="872" customWidth="1"/>
    <col min="14873" max="14873" width="13.21875" style="872" customWidth="1"/>
    <col min="14874" max="14875" width="7.88671875" style="872" hidden="1" customWidth="1"/>
    <col min="14876" max="14876" width="5.88671875" style="872" customWidth="1"/>
    <col min="14877" max="14877" width="8.88671875" style="872" customWidth="1"/>
    <col min="14878" max="14878" width="10.88671875" style="872" customWidth="1"/>
    <col min="14879" max="15108" width="8" style="872"/>
    <col min="15109" max="15109" width="1.77734375" style="872" customWidth="1"/>
    <col min="15110" max="15111" width="8" style="872"/>
    <col min="15112" max="15114" width="8.33203125" style="872" customWidth="1"/>
    <col min="15115" max="15115" width="26.77734375" style="872" customWidth="1"/>
    <col min="15116" max="15116" width="0.6640625" style="872" customWidth="1"/>
    <col min="15117" max="15119" width="10" style="872" customWidth="1"/>
    <col min="15120" max="15123" width="7.88671875" style="872" hidden="1" customWidth="1"/>
    <col min="15124" max="15124" width="10" style="872" customWidth="1"/>
    <col min="15125" max="15125" width="8.33203125" style="872" customWidth="1"/>
    <col min="15126" max="15126" width="7.109375" style="872" customWidth="1"/>
    <col min="15127" max="15127" width="14.109375" style="872" customWidth="1"/>
    <col min="15128" max="15128" width="6.77734375" style="872" customWidth="1"/>
    <col min="15129" max="15129" width="13.21875" style="872" customWidth="1"/>
    <col min="15130" max="15131" width="7.88671875" style="872" hidden="1" customWidth="1"/>
    <col min="15132" max="15132" width="5.88671875" style="872" customWidth="1"/>
    <col min="15133" max="15133" width="8.88671875" style="872" customWidth="1"/>
    <col min="15134" max="15134" width="10.88671875" style="872" customWidth="1"/>
    <col min="15135" max="15364" width="8" style="872"/>
    <col min="15365" max="15365" width="1.77734375" style="872" customWidth="1"/>
    <col min="15366" max="15367" width="8" style="872"/>
    <col min="15368" max="15370" width="8.33203125" style="872" customWidth="1"/>
    <col min="15371" max="15371" width="26.77734375" style="872" customWidth="1"/>
    <col min="15372" max="15372" width="0.6640625" style="872" customWidth="1"/>
    <col min="15373" max="15375" width="10" style="872" customWidth="1"/>
    <col min="15376" max="15379" width="7.88671875" style="872" hidden="1" customWidth="1"/>
    <col min="15380" max="15380" width="10" style="872" customWidth="1"/>
    <col min="15381" max="15381" width="8.33203125" style="872" customWidth="1"/>
    <col min="15382" max="15382" width="7.109375" style="872" customWidth="1"/>
    <col min="15383" max="15383" width="14.109375" style="872" customWidth="1"/>
    <col min="15384" max="15384" width="6.77734375" style="872" customWidth="1"/>
    <col min="15385" max="15385" width="13.21875" style="872" customWidth="1"/>
    <col min="15386" max="15387" width="7.88671875" style="872" hidden="1" customWidth="1"/>
    <col min="15388" max="15388" width="5.88671875" style="872" customWidth="1"/>
    <col min="15389" max="15389" width="8.88671875" style="872" customWidth="1"/>
    <col min="15390" max="15390" width="10.88671875" style="872" customWidth="1"/>
    <col min="15391" max="15620" width="8" style="872"/>
    <col min="15621" max="15621" width="1.77734375" style="872" customWidth="1"/>
    <col min="15622" max="15623" width="8" style="872"/>
    <col min="15624" max="15626" width="8.33203125" style="872" customWidth="1"/>
    <col min="15627" max="15627" width="26.77734375" style="872" customWidth="1"/>
    <col min="15628" max="15628" width="0.6640625" style="872" customWidth="1"/>
    <col min="15629" max="15631" width="10" style="872" customWidth="1"/>
    <col min="15632" max="15635" width="7.88671875" style="872" hidden="1" customWidth="1"/>
    <col min="15636" max="15636" width="10" style="872" customWidth="1"/>
    <col min="15637" max="15637" width="8.33203125" style="872" customWidth="1"/>
    <col min="15638" max="15638" width="7.109375" style="872" customWidth="1"/>
    <col min="15639" max="15639" width="14.109375" style="872" customWidth="1"/>
    <col min="15640" max="15640" width="6.77734375" style="872" customWidth="1"/>
    <col min="15641" max="15641" width="13.21875" style="872" customWidth="1"/>
    <col min="15642" max="15643" width="7.88671875" style="872" hidden="1" customWidth="1"/>
    <col min="15644" max="15644" width="5.88671875" style="872" customWidth="1"/>
    <col min="15645" max="15645" width="8.88671875" style="872" customWidth="1"/>
    <col min="15646" max="15646" width="10.88671875" style="872" customWidth="1"/>
    <col min="15647" max="15876" width="8" style="872"/>
    <col min="15877" max="15877" width="1.77734375" style="872" customWidth="1"/>
    <col min="15878" max="15879" width="8" style="872"/>
    <col min="15880" max="15882" width="8.33203125" style="872" customWidth="1"/>
    <col min="15883" max="15883" width="26.77734375" style="872" customWidth="1"/>
    <col min="15884" max="15884" width="0.6640625" style="872" customWidth="1"/>
    <col min="15885" max="15887" width="10" style="872" customWidth="1"/>
    <col min="15888" max="15891" width="7.88671875" style="872" hidden="1" customWidth="1"/>
    <col min="15892" max="15892" width="10" style="872" customWidth="1"/>
    <col min="15893" max="15893" width="8.33203125" style="872" customWidth="1"/>
    <col min="15894" max="15894" width="7.109375" style="872" customWidth="1"/>
    <col min="15895" max="15895" width="14.109375" style="872" customWidth="1"/>
    <col min="15896" max="15896" width="6.77734375" style="872" customWidth="1"/>
    <col min="15897" max="15897" width="13.21875" style="872" customWidth="1"/>
    <col min="15898" max="15899" width="7.88671875" style="872" hidden="1" customWidth="1"/>
    <col min="15900" max="15900" width="5.88671875" style="872" customWidth="1"/>
    <col min="15901" max="15901" width="8.88671875" style="872" customWidth="1"/>
    <col min="15902" max="15902" width="10.88671875" style="872" customWidth="1"/>
    <col min="15903" max="16132" width="8" style="872"/>
    <col min="16133" max="16133" width="1.77734375" style="872" customWidth="1"/>
    <col min="16134" max="16135" width="8" style="872"/>
    <col min="16136" max="16138" width="8.33203125" style="872" customWidth="1"/>
    <col min="16139" max="16139" width="26.77734375" style="872" customWidth="1"/>
    <col min="16140" max="16140" width="0.6640625" style="872" customWidth="1"/>
    <col min="16141" max="16143" width="10" style="872" customWidth="1"/>
    <col min="16144" max="16147" width="7.88671875" style="872" hidden="1" customWidth="1"/>
    <col min="16148" max="16148" width="10" style="872" customWidth="1"/>
    <col min="16149" max="16149" width="8.33203125" style="872" customWidth="1"/>
    <col min="16150" max="16150" width="7.109375" style="872" customWidth="1"/>
    <col min="16151" max="16151" width="14.109375" style="872" customWidth="1"/>
    <col min="16152" max="16152" width="6.77734375" style="872" customWidth="1"/>
    <col min="16153" max="16153" width="13.21875" style="872" customWidth="1"/>
    <col min="16154" max="16155" width="7.88671875" style="872" hidden="1" customWidth="1"/>
    <col min="16156" max="16156" width="5.88671875" style="872" customWidth="1"/>
    <col min="16157" max="16157" width="8.88671875" style="872" customWidth="1"/>
    <col min="16158" max="16158" width="10.88671875" style="872" customWidth="1"/>
    <col min="16159" max="16384" width="8" style="872"/>
  </cols>
  <sheetData>
    <row r="1" spans="2:55" ht="18">
      <c r="B1" s="2035" t="s">
        <v>597</v>
      </c>
      <c r="C1" s="2035"/>
      <c r="D1" s="2035"/>
      <c r="E1" s="2035"/>
      <c r="F1" s="2035"/>
      <c r="G1" s="2035"/>
      <c r="H1" s="2035"/>
      <c r="I1" s="2035"/>
      <c r="J1" s="2035"/>
      <c r="K1" s="2035"/>
      <c r="L1" s="2035"/>
      <c r="M1" s="2035"/>
      <c r="N1" s="897"/>
      <c r="O1" s="2035" t="s">
        <v>598</v>
      </c>
      <c r="P1" s="2035"/>
      <c r="Q1" s="2035"/>
      <c r="R1" s="2035"/>
      <c r="S1" s="2035"/>
      <c r="T1" s="2035"/>
      <c r="U1" s="2035"/>
      <c r="V1" s="2035"/>
      <c r="W1" s="2035"/>
      <c r="Z1" s="2036" t="s">
        <v>599</v>
      </c>
      <c r="AA1" s="2036"/>
      <c r="AB1" s="2036"/>
      <c r="AC1" s="2036"/>
      <c r="AD1" s="2036"/>
      <c r="AE1" s="2036"/>
      <c r="AF1" s="2036"/>
      <c r="AG1" s="2036"/>
      <c r="AH1" s="2036"/>
      <c r="AI1" s="2036"/>
      <c r="AJ1" s="2036"/>
      <c r="AK1" s="2036"/>
      <c r="AM1" s="2036" t="s">
        <v>600</v>
      </c>
      <c r="AN1" s="2036"/>
      <c r="AO1" s="2036"/>
      <c r="AP1" s="2036"/>
      <c r="AQ1" s="2036"/>
      <c r="AR1" s="2036"/>
      <c r="AS1" s="2036"/>
      <c r="AT1" s="2036"/>
      <c r="AU1" s="2036"/>
      <c r="AV1" s="2036"/>
      <c r="AW1" s="2036"/>
      <c r="AX1" s="2036"/>
      <c r="AY1" s="2036"/>
    </row>
    <row r="2" spans="2:55">
      <c r="B2" s="2037" t="s">
        <v>601</v>
      </c>
      <c r="C2" s="2037"/>
      <c r="D2" s="2037"/>
      <c r="E2" s="2037"/>
      <c r="F2" s="2037"/>
      <c r="G2" s="2037"/>
      <c r="H2" s="2037"/>
      <c r="I2" s="2037"/>
      <c r="J2" s="2037"/>
      <c r="K2" s="2037"/>
      <c r="L2" s="2037"/>
      <c r="M2" s="2037"/>
      <c r="N2" s="874"/>
      <c r="O2" s="2038" t="s">
        <v>602</v>
      </c>
      <c r="P2" s="2038"/>
      <c r="Q2" s="2038"/>
      <c r="R2" s="2038"/>
      <c r="S2" s="2038"/>
      <c r="T2" s="2038"/>
      <c r="U2" s="2038"/>
      <c r="V2" s="2038"/>
      <c r="W2" s="2038"/>
      <c r="Z2" s="936" t="s">
        <v>603</v>
      </c>
      <c r="AA2" s="921"/>
      <c r="AB2" s="937"/>
      <c r="AC2" s="937"/>
      <c r="AD2" s="919"/>
      <c r="AE2" s="937"/>
      <c r="AF2" s="938"/>
      <c r="AG2" s="919"/>
      <c r="AH2" s="920"/>
      <c r="AI2" s="957"/>
      <c r="AJ2" s="920"/>
      <c r="AM2" s="958"/>
      <c r="AN2" s="921" t="s">
        <v>604</v>
      </c>
      <c r="AO2" s="921"/>
      <c r="AP2" s="921"/>
      <c r="AQ2" s="921"/>
      <c r="AR2" s="921"/>
      <c r="AS2" s="965" t="s">
        <v>605</v>
      </c>
      <c r="AT2" s="966">
        <f>[52]สรุปวัสดุและค่าดำเนินการ!L25</f>
        <v>254.65</v>
      </c>
      <c r="AU2" s="940" t="s">
        <v>606</v>
      </c>
      <c r="AV2" s="967" t="s">
        <v>607</v>
      </c>
      <c r="AW2" s="921"/>
      <c r="AX2" s="921"/>
      <c r="AY2" s="921"/>
      <c r="BC2" s="972" t="str">
        <f>'[52]1.ข้อมูลโครงการ'!P31</f>
        <v>ค2</v>
      </c>
    </row>
    <row r="3" spans="2:55">
      <c r="B3" s="875" t="s">
        <v>608</v>
      </c>
      <c r="C3" s="874"/>
      <c r="D3" s="874"/>
      <c r="E3" s="874"/>
      <c r="F3" s="874"/>
      <c r="G3" s="874"/>
      <c r="H3" s="873"/>
      <c r="N3" s="873"/>
      <c r="O3" s="872" t="s">
        <v>609</v>
      </c>
      <c r="Z3" s="939" t="s">
        <v>610</v>
      </c>
      <c r="AA3" s="921"/>
      <c r="AB3" s="937"/>
      <c r="AC3" s="938">
        <v>1</v>
      </c>
      <c r="AD3" s="940" t="s">
        <v>83</v>
      </c>
      <c r="AE3" s="919"/>
      <c r="AF3" s="940"/>
      <c r="AG3" s="954"/>
      <c r="AH3" s="959"/>
      <c r="AI3" s="954"/>
      <c r="AJ3" s="919"/>
      <c r="AM3" s="958"/>
      <c r="AN3" s="921" t="s">
        <v>611</v>
      </c>
      <c r="AO3" s="968">
        <f>[52]สรุปวัสดุและค่าดำเนินการ!H25</f>
        <v>20</v>
      </c>
      <c r="AP3" s="921" t="s">
        <v>612</v>
      </c>
      <c r="AQ3" s="921"/>
      <c r="AR3" s="921"/>
      <c r="AS3" s="965" t="s">
        <v>605</v>
      </c>
      <c r="AT3" s="966">
        <f>[52]สรุปวัสดุและค่าดำเนินการ!I25</f>
        <v>74.650000000000006</v>
      </c>
      <c r="AU3" s="940" t="s">
        <v>606</v>
      </c>
      <c r="AV3" s="967" t="s">
        <v>613</v>
      </c>
      <c r="AW3" s="921"/>
      <c r="AX3" s="921"/>
      <c r="AY3" s="921"/>
    </row>
    <row r="4" spans="2:55">
      <c r="B4" s="2039" t="s">
        <v>614</v>
      </c>
      <c r="C4" s="2040"/>
      <c r="D4" s="2040"/>
      <c r="E4" s="2040"/>
      <c r="F4" s="2040"/>
      <c r="G4" s="2040"/>
      <c r="H4" s="2041"/>
      <c r="I4" s="898" t="s">
        <v>615</v>
      </c>
      <c r="J4" s="898" t="s">
        <v>616</v>
      </c>
      <c r="K4" s="898" t="s">
        <v>617</v>
      </c>
      <c r="L4" s="898" t="s">
        <v>618</v>
      </c>
      <c r="M4" s="898" t="s">
        <v>619</v>
      </c>
      <c r="N4" s="874"/>
      <c r="O4" s="2042" t="s">
        <v>620</v>
      </c>
      <c r="P4" s="2043"/>
      <c r="Q4" s="923" t="s">
        <v>621</v>
      </c>
      <c r="R4" s="2043" t="s">
        <v>622</v>
      </c>
      <c r="S4" s="2043"/>
      <c r="T4" s="2043"/>
      <c r="U4" s="2042" t="s">
        <v>623</v>
      </c>
      <c r="V4" s="2043"/>
      <c r="W4" s="2044"/>
      <c r="Z4" s="939" t="s">
        <v>624</v>
      </c>
      <c r="AA4" s="939"/>
      <c r="AB4" s="941"/>
      <c r="AC4" s="942">
        <v>1</v>
      </c>
      <c r="AD4" s="940" t="s">
        <v>625</v>
      </c>
      <c r="AE4" s="943">
        <f>'2.ข้อมูลวัสดุ'!D30</f>
        <v>532.71</v>
      </c>
      <c r="AF4" s="940" t="s">
        <v>445</v>
      </c>
      <c r="AG4" s="937" t="s">
        <v>605</v>
      </c>
      <c r="AH4" s="938">
        <f t="shared" ref="AH4:AH7" si="0">ROUND(AE4*AC4,2)</f>
        <v>532.71</v>
      </c>
      <c r="AI4" s="920" t="s">
        <v>626</v>
      </c>
      <c r="AJ4" s="919" t="s">
        <v>607</v>
      </c>
      <c r="AM4" s="958"/>
      <c r="AN4" s="921" t="s">
        <v>109</v>
      </c>
      <c r="AO4" s="968"/>
      <c r="AP4" s="921"/>
      <c r="AQ4" s="921"/>
      <c r="AR4" s="921"/>
      <c r="AS4" s="965" t="s">
        <v>605</v>
      </c>
      <c r="AT4" s="969">
        <f>SUM(AT2:AT3)</f>
        <v>329.3</v>
      </c>
      <c r="AU4" s="940" t="s">
        <v>606</v>
      </c>
      <c r="AV4" s="967" t="s">
        <v>627</v>
      </c>
      <c r="AW4" s="921"/>
      <c r="AX4" s="921"/>
      <c r="AY4" s="921"/>
    </row>
    <row r="5" spans="2:55">
      <c r="B5" s="2045" t="s">
        <v>628</v>
      </c>
      <c r="C5" s="2045"/>
      <c r="D5" s="2045"/>
      <c r="E5" s="2045"/>
      <c r="F5" s="2045"/>
      <c r="G5" s="2045"/>
      <c r="H5" s="2045"/>
      <c r="I5" s="899" t="s">
        <v>629</v>
      </c>
      <c r="J5" s="899" t="s">
        <v>630</v>
      </c>
      <c r="K5" s="899" t="s">
        <v>631</v>
      </c>
      <c r="L5" s="899" t="s">
        <v>632</v>
      </c>
      <c r="M5" s="899" t="s">
        <v>633</v>
      </c>
      <c r="N5" s="874"/>
      <c r="O5" s="2046" t="s">
        <v>634</v>
      </c>
      <c r="P5" s="2047"/>
      <c r="Q5" s="924" t="s">
        <v>635</v>
      </c>
      <c r="R5" s="925"/>
      <c r="S5" s="901" t="s">
        <v>635</v>
      </c>
      <c r="T5" s="901"/>
      <c r="U5" s="900"/>
      <c r="V5" s="901" t="s">
        <v>635</v>
      </c>
      <c r="W5" s="926"/>
      <c r="Z5" s="939" t="s">
        <v>636</v>
      </c>
      <c r="AA5" s="921"/>
      <c r="AB5" s="941"/>
      <c r="AC5" s="942">
        <v>0.3</v>
      </c>
      <c r="AD5" s="940" t="s">
        <v>625</v>
      </c>
      <c r="AE5" s="943">
        <f>'2.ข้อมูลวัสดุ'!D32</f>
        <v>443.93</v>
      </c>
      <c r="AF5" s="940" t="s">
        <v>445</v>
      </c>
      <c r="AG5" s="937" t="s">
        <v>605</v>
      </c>
      <c r="AH5" s="938">
        <f t="shared" si="0"/>
        <v>133.18</v>
      </c>
      <c r="AI5" s="920" t="s">
        <v>626</v>
      </c>
      <c r="AJ5" s="919" t="s">
        <v>637</v>
      </c>
      <c r="AM5" s="958"/>
      <c r="AN5" s="921" t="s">
        <v>638</v>
      </c>
      <c r="AO5" s="921"/>
      <c r="AP5" s="921"/>
      <c r="AQ5" s="921"/>
      <c r="AR5" s="921"/>
      <c r="AS5" s="965" t="s">
        <v>605</v>
      </c>
      <c r="AT5" s="966">
        <f>ROUND(AT3*1.4,2)</f>
        <v>104.51</v>
      </c>
      <c r="AU5" s="940" t="s">
        <v>606</v>
      </c>
      <c r="AV5" s="967" t="s">
        <v>639</v>
      </c>
      <c r="AW5" s="921"/>
      <c r="AX5" s="921"/>
      <c r="AY5" s="921"/>
    </row>
    <row r="6" spans="2:55">
      <c r="B6" s="876">
        <v>1</v>
      </c>
      <c r="C6" s="877" t="s">
        <v>640</v>
      </c>
      <c r="D6" s="878">
        <v>1.05</v>
      </c>
      <c r="E6" s="879" t="s">
        <v>641</v>
      </c>
      <c r="F6" s="880">
        <f>[52]สรุปวัสดุและค่าดำเนินการ!L22</f>
        <v>2491.54</v>
      </c>
      <c r="G6" s="881" t="s">
        <v>605</v>
      </c>
      <c r="H6" s="882">
        <f t="shared" ref="H6:H8" si="1">TRUNC(D6*F6,2)</f>
        <v>2616.11</v>
      </c>
      <c r="I6" s="902">
        <f>0.4*$H$6</f>
        <v>1046.444</v>
      </c>
      <c r="J6" s="902">
        <f>0.35*$H$6</f>
        <v>915.63850000000002</v>
      </c>
      <c r="K6" s="902">
        <f>0.32*$H$6</f>
        <v>837.15520000000004</v>
      </c>
      <c r="L6" s="902">
        <f>0.29*$H$6</f>
        <v>758.67190000000005</v>
      </c>
      <c r="M6" s="903">
        <f>0.24*$H$6</f>
        <v>627.8664</v>
      </c>
      <c r="N6" s="904"/>
      <c r="O6" s="905"/>
      <c r="P6" s="906"/>
      <c r="Q6" s="927"/>
      <c r="R6" s="928" t="s">
        <v>642</v>
      </c>
      <c r="S6" s="929"/>
      <c r="T6" s="930" t="s">
        <v>643</v>
      </c>
      <c r="U6" s="928" t="s">
        <v>642</v>
      </c>
      <c r="V6" s="929"/>
      <c r="W6" s="930" t="s">
        <v>643</v>
      </c>
      <c r="Z6" s="939" t="s">
        <v>644</v>
      </c>
      <c r="AA6" s="921"/>
      <c r="AB6" s="941"/>
      <c r="AC6" s="942">
        <v>0.3</v>
      </c>
      <c r="AD6" s="940" t="s">
        <v>645</v>
      </c>
      <c r="AE6" s="943">
        <f>'2.ข้อมูลวัสดุ'!D34</f>
        <v>30.37</v>
      </c>
      <c r="AF6" s="940" t="s">
        <v>445</v>
      </c>
      <c r="AG6" s="937" t="s">
        <v>605</v>
      </c>
      <c r="AH6" s="938">
        <f t="shared" si="0"/>
        <v>9.11</v>
      </c>
      <c r="AI6" s="920" t="s">
        <v>626</v>
      </c>
      <c r="AJ6" s="919" t="s">
        <v>627</v>
      </c>
      <c r="AM6" s="958"/>
      <c r="AN6" s="921" t="s">
        <v>646</v>
      </c>
      <c r="AO6" s="921"/>
      <c r="AP6" s="921"/>
      <c r="AQ6" s="921"/>
      <c r="AR6" s="921"/>
      <c r="AS6" s="965" t="s">
        <v>605</v>
      </c>
      <c r="AT6" s="966">
        <f>ROUND([52]ค่าขนส่งและเสื่อมราคา!Q16*0.75,2)</f>
        <v>35.47</v>
      </c>
      <c r="AU6" s="940" t="s">
        <v>606</v>
      </c>
      <c r="AV6" s="967" t="s">
        <v>647</v>
      </c>
      <c r="AW6" s="921"/>
      <c r="AX6" s="921"/>
      <c r="AY6" s="921"/>
    </row>
    <row r="7" spans="2:55">
      <c r="B7" s="883">
        <v>2</v>
      </c>
      <c r="C7" s="884" t="s">
        <v>648</v>
      </c>
      <c r="D7" s="885">
        <v>1.05</v>
      </c>
      <c r="E7" s="886" t="s">
        <v>641</v>
      </c>
      <c r="F7" s="887">
        <f>[52]สรุปวัสดุและค่าดำเนินการ!L25</f>
        <v>254.65</v>
      </c>
      <c r="G7" s="888" t="s">
        <v>605</v>
      </c>
      <c r="H7" s="882">
        <f t="shared" si="1"/>
        <v>267.38</v>
      </c>
      <c r="I7" s="907">
        <f>0.734*$H$7</f>
        <v>196.25692000000001</v>
      </c>
      <c r="J7" s="907">
        <f>0.8*$H$7</f>
        <v>213.904</v>
      </c>
      <c r="K7" s="907">
        <f>0.835*$H$7</f>
        <v>223.26230000000001</v>
      </c>
      <c r="L7" s="907">
        <f>0.868*$H$7</f>
        <v>232.08583999999999</v>
      </c>
      <c r="M7" s="908">
        <f>0.728*$H$7</f>
        <v>194.65263999999999</v>
      </c>
      <c r="N7" s="904"/>
      <c r="O7" s="2048" t="s">
        <v>615</v>
      </c>
      <c r="P7" s="2048"/>
      <c r="Q7" s="909">
        <v>400</v>
      </c>
      <c r="R7" s="915">
        <v>715</v>
      </c>
      <c r="S7" s="931" t="s">
        <v>649</v>
      </c>
      <c r="T7" s="916">
        <v>753</v>
      </c>
      <c r="U7" s="915">
        <v>1001</v>
      </c>
      <c r="V7" s="931" t="s">
        <v>650</v>
      </c>
      <c r="W7" s="916">
        <v>1037</v>
      </c>
      <c r="Z7" s="939" t="s">
        <v>80</v>
      </c>
      <c r="AA7" s="921"/>
      <c r="AB7" s="941"/>
      <c r="AC7" s="942">
        <v>0.25</v>
      </c>
      <c r="AD7" s="940" t="s">
        <v>651</v>
      </c>
      <c r="AE7" s="943">
        <f>'2.ข้อมูลวัสดุ'!D35</f>
        <v>51.41</v>
      </c>
      <c r="AF7" s="940" t="s">
        <v>445</v>
      </c>
      <c r="AG7" s="937" t="s">
        <v>605</v>
      </c>
      <c r="AH7" s="938">
        <f t="shared" si="0"/>
        <v>12.85</v>
      </c>
      <c r="AI7" s="920" t="s">
        <v>626</v>
      </c>
      <c r="AJ7" s="919" t="s">
        <v>652</v>
      </c>
      <c r="AM7" s="960"/>
      <c r="AN7" s="961" t="s">
        <v>653</v>
      </c>
      <c r="AO7" s="961"/>
      <c r="AP7" s="970"/>
      <c r="AQ7" s="965"/>
      <c r="AR7" s="921"/>
      <c r="AS7" s="965" t="s">
        <v>605</v>
      </c>
      <c r="AT7" s="971">
        <f>ROUNDDOWN(SUM(AT5:AT6),2)</f>
        <v>139.97999999999999</v>
      </c>
      <c r="AU7" s="940" t="s">
        <v>606</v>
      </c>
      <c r="AV7" s="967" t="s">
        <v>654</v>
      </c>
      <c r="AW7" s="921"/>
      <c r="AX7" s="921"/>
    </row>
    <row r="8" spans="2:55">
      <c r="B8" s="883">
        <v>3</v>
      </c>
      <c r="C8" s="884" t="s">
        <v>186</v>
      </c>
      <c r="D8" s="885">
        <v>1.05</v>
      </c>
      <c r="E8" s="886" t="s">
        <v>641</v>
      </c>
      <c r="F8" s="887">
        <f>[52]สรุปวัสดุและค่าดำเนินการ!L23</f>
        <v>762.69</v>
      </c>
      <c r="G8" s="888" t="s">
        <v>605</v>
      </c>
      <c r="H8" s="882">
        <f t="shared" si="1"/>
        <v>800.82</v>
      </c>
      <c r="I8" s="907">
        <f>1.019*$H$8</f>
        <v>816.03557999999998</v>
      </c>
      <c r="J8" s="907">
        <f>1.03*$H$8</f>
        <v>824.84460000000001</v>
      </c>
      <c r="K8" s="907">
        <f>1.07*$H$8</f>
        <v>856.87739999999997</v>
      </c>
      <c r="L8" s="907">
        <f>1.015*$H$8</f>
        <v>812.83230000000003</v>
      </c>
      <c r="M8" s="908">
        <f>1.218*$H$8</f>
        <v>975.39876000000004</v>
      </c>
      <c r="N8" s="904"/>
      <c r="O8" s="2048" t="s">
        <v>616</v>
      </c>
      <c r="P8" s="2048"/>
      <c r="Q8" s="909">
        <v>350</v>
      </c>
      <c r="R8" s="915">
        <v>768</v>
      </c>
      <c r="S8" s="931" t="s">
        <v>655</v>
      </c>
      <c r="T8" s="916">
        <v>833</v>
      </c>
      <c r="U8" s="915">
        <v>1001</v>
      </c>
      <c r="V8" s="931" t="s">
        <v>656</v>
      </c>
      <c r="W8" s="916">
        <v>1060</v>
      </c>
      <c r="Z8" s="921"/>
      <c r="AA8" s="939"/>
      <c r="AB8" s="921"/>
      <c r="AC8" s="921"/>
      <c r="AD8" s="921"/>
      <c r="AE8" s="921"/>
      <c r="AF8" s="941" t="s">
        <v>109</v>
      </c>
      <c r="AG8" s="937" t="s">
        <v>605</v>
      </c>
      <c r="AH8" s="938">
        <f>ROUND(SUM(AH4:AH7),2)</f>
        <v>687.85</v>
      </c>
      <c r="AI8" s="920" t="s">
        <v>626</v>
      </c>
      <c r="AJ8" s="919" t="s">
        <v>657</v>
      </c>
    </row>
    <row r="9" spans="2:55">
      <c r="B9" s="889">
        <v>4</v>
      </c>
      <c r="C9" s="890" t="s">
        <v>658</v>
      </c>
      <c r="D9" s="890"/>
      <c r="E9" s="890"/>
      <c r="F9" s="890"/>
      <c r="G9" s="890"/>
      <c r="H9" s="891"/>
      <c r="I9" s="910">
        <v>0</v>
      </c>
      <c r="J9" s="910">
        <v>0</v>
      </c>
      <c r="K9" s="910">
        <v>0</v>
      </c>
      <c r="L9" s="910">
        <v>0</v>
      </c>
      <c r="M9" s="911">
        <v>0</v>
      </c>
      <c r="N9" s="904"/>
      <c r="O9" s="2048" t="s">
        <v>617</v>
      </c>
      <c r="P9" s="2048"/>
      <c r="Q9" s="909">
        <v>320</v>
      </c>
      <c r="R9" s="915">
        <v>809</v>
      </c>
      <c r="S9" s="931" t="s">
        <v>659</v>
      </c>
      <c r="T9" s="916">
        <v>861</v>
      </c>
      <c r="U9" s="915">
        <v>1001</v>
      </c>
      <c r="V9" s="931" t="s">
        <v>660</v>
      </c>
      <c r="W9" s="916">
        <v>1140</v>
      </c>
      <c r="Z9" s="939" t="s">
        <v>661</v>
      </c>
      <c r="AA9" s="944"/>
      <c r="AB9" s="941"/>
      <c r="AC9" s="945"/>
      <c r="AD9" s="940"/>
      <c r="AE9" s="921"/>
      <c r="AF9" s="946"/>
      <c r="AG9" s="937" t="s">
        <v>605</v>
      </c>
      <c r="AH9" s="938">
        <f>ROUND(AH8/4,2)</f>
        <v>171.96</v>
      </c>
      <c r="AI9" s="920" t="s">
        <v>626</v>
      </c>
      <c r="AJ9" s="919" t="s">
        <v>662</v>
      </c>
      <c r="AY9" s="970"/>
    </row>
    <row r="10" spans="2:55">
      <c r="B10" s="2049" t="s">
        <v>109</v>
      </c>
      <c r="C10" s="2050"/>
      <c r="D10" s="2050"/>
      <c r="E10" s="2050"/>
      <c r="F10" s="2050"/>
      <c r="G10" s="2050"/>
      <c r="H10" s="2051"/>
      <c r="I10" s="912">
        <f t="shared" ref="I10:M10" si="2">SUM(I6:I9)</f>
        <v>2058.7365</v>
      </c>
      <c r="J10" s="912">
        <f t="shared" si="2"/>
        <v>1954.3870999999999</v>
      </c>
      <c r="K10" s="912">
        <f t="shared" si="2"/>
        <v>1917.2949000000001</v>
      </c>
      <c r="L10" s="912">
        <f t="shared" si="2"/>
        <v>1803.59004</v>
      </c>
      <c r="M10" s="913">
        <f t="shared" si="2"/>
        <v>1797.9177999999999</v>
      </c>
      <c r="N10" s="914"/>
      <c r="O10" s="2048" t="s">
        <v>618</v>
      </c>
      <c r="P10" s="2048"/>
      <c r="Q10" s="909">
        <v>290</v>
      </c>
      <c r="R10" s="915">
        <v>852</v>
      </c>
      <c r="S10" s="931" t="s">
        <v>663</v>
      </c>
      <c r="T10" s="916">
        <v>885</v>
      </c>
      <c r="U10" s="915">
        <v>1001</v>
      </c>
      <c r="V10" s="931" t="s">
        <v>664</v>
      </c>
      <c r="W10" s="916">
        <v>1029</v>
      </c>
      <c r="Z10" s="939" t="s">
        <v>665</v>
      </c>
      <c r="AA10" s="921"/>
      <c r="AB10" s="947"/>
      <c r="AC10" s="942"/>
      <c r="AD10" s="948"/>
      <c r="AE10" s="943"/>
      <c r="AF10" s="948"/>
      <c r="AG10" s="937" t="s">
        <v>605</v>
      </c>
      <c r="AH10" s="938">
        <v>0</v>
      </c>
      <c r="AI10" s="920" t="s">
        <v>626</v>
      </c>
      <c r="AJ10" s="919" t="s">
        <v>666</v>
      </c>
      <c r="AN10" s="936" t="s">
        <v>667</v>
      </c>
      <c r="AO10" s="970"/>
      <c r="AP10" s="970"/>
      <c r="AQ10" s="970"/>
      <c r="AR10" s="970"/>
      <c r="AS10" s="970"/>
      <c r="AT10" s="970"/>
      <c r="AU10" s="970"/>
      <c r="AV10" s="970"/>
      <c r="AW10" s="970"/>
      <c r="AX10" s="970"/>
    </row>
    <row r="11" spans="2:55">
      <c r="O11" s="915"/>
      <c r="P11" s="916"/>
      <c r="Q11" s="909"/>
      <c r="R11" s="915"/>
      <c r="S11" s="873"/>
      <c r="T11" s="932"/>
      <c r="U11" s="915"/>
      <c r="V11" s="873"/>
      <c r="W11" s="916"/>
      <c r="Z11" s="939" t="s">
        <v>668</v>
      </c>
      <c r="AA11" s="944"/>
      <c r="AB11" s="947"/>
      <c r="AC11" s="942"/>
      <c r="AD11" s="948"/>
      <c r="AE11" s="938"/>
      <c r="AF11" s="948"/>
      <c r="AG11" s="937" t="s">
        <v>605</v>
      </c>
      <c r="AH11" s="938">
        <v>139</v>
      </c>
      <c r="AI11" s="920" t="s">
        <v>626</v>
      </c>
      <c r="AJ11" s="919" t="s">
        <v>669</v>
      </c>
    </row>
    <row r="12" spans="2:55">
      <c r="B12" s="875" t="s">
        <v>670</v>
      </c>
      <c r="O12" s="2052" t="s">
        <v>671</v>
      </c>
      <c r="P12" s="2053"/>
      <c r="Q12" s="933">
        <v>240</v>
      </c>
      <c r="R12" s="934"/>
      <c r="S12" s="935">
        <v>728</v>
      </c>
      <c r="T12" s="891"/>
      <c r="U12" s="889"/>
      <c r="V12" s="935">
        <v>1218</v>
      </c>
      <c r="W12" s="917"/>
      <c r="Z12" s="939" t="s">
        <v>672</v>
      </c>
      <c r="AA12" s="944"/>
      <c r="AB12" s="941"/>
      <c r="AC12" s="937"/>
      <c r="AD12" s="940"/>
      <c r="AE12" s="942"/>
      <c r="AF12" s="941"/>
      <c r="AG12" s="937" t="s">
        <v>605</v>
      </c>
      <c r="AH12" s="962">
        <f>ROUND(AH9+AH10+AH11,2)</f>
        <v>310.95999999999998</v>
      </c>
      <c r="AI12" s="920" t="s">
        <v>626</v>
      </c>
      <c r="AJ12" s="919" t="s">
        <v>673</v>
      </c>
      <c r="AN12" s="872">
        <v>1</v>
      </c>
      <c r="AO12" s="872" t="s">
        <v>674</v>
      </c>
    </row>
    <row r="13" spans="2:55">
      <c r="B13" s="2039" t="s">
        <v>614</v>
      </c>
      <c r="C13" s="2040"/>
      <c r="D13" s="2040"/>
      <c r="E13" s="2040"/>
      <c r="F13" s="2040"/>
      <c r="G13" s="2040"/>
      <c r="H13" s="2041"/>
      <c r="I13" s="898" t="s">
        <v>615</v>
      </c>
      <c r="J13" s="898" t="s">
        <v>616</v>
      </c>
      <c r="K13" s="898" t="s">
        <v>617</v>
      </c>
      <c r="L13" s="898" t="s">
        <v>618</v>
      </c>
      <c r="M13" s="898" t="s">
        <v>619</v>
      </c>
      <c r="N13" s="874"/>
      <c r="Z13" s="936" t="s">
        <v>675</v>
      </c>
      <c r="AA13" s="949"/>
      <c r="AB13" s="950"/>
      <c r="AC13" s="951"/>
      <c r="AD13" s="952"/>
      <c r="AE13" s="953"/>
      <c r="AF13" s="950"/>
      <c r="AG13" s="963" t="s">
        <v>605</v>
      </c>
      <c r="AH13" s="964">
        <f>ROUNDDOWN(AH12,-0.1)</f>
        <v>310</v>
      </c>
      <c r="AI13" s="920" t="s">
        <v>626</v>
      </c>
      <c r="AJ13" s="919" t="s">
        <v>676</v>
      </c>
      <c r="AN13" s="872">
        <v>2</v>
      </c>
      <c r="AO13" s="872" t="s">
        <v>677</v>
      </c>
    </row>
    <row r="14" spans="2:55">
      <c r="B14" s="2045" t="s">
        <v>628</v>
      </c>
      <c r="C14" s="2045"/>
      <c r="D14" s="2045"/>
      <c r="E14" s="2045"/>
      <c r="F14" s="2045"/>
      <c r="G14" s="2045"/>
      <c r="H14" s="2045"/>
      <c r="I14" s="899" t="s">
        <v>678</v>
      </c>
      <c r="J14" s="899" t="s">
        <v>679</v>
      </c>
      <c r="K14" s="899" t="s">
        <v>680</v>
      </c>
      <c r="L14" s="899" t="s">
        <v>681</v>
      </c>
      <c r="M14" s="899" t="s">
        <v>682</v>
      </c>
      <c r="N14" s="874"/>
      <c r="O14" s="872" t="s">
        <v>683</v>
      </c>
      <c r="Z14" s="921"/>
      <c r="AA14" s="939"/>
      <c r="AB14" s="921"/>
      <c r="AC14" s="921"/>
      <c r="AD14" s="921"/>
      <c r="AE14" s="921"/>
      <c r="AF14" s="939"/>
      <c r="AG14" s="921"/>
      <c r="AH14" s="939"/>
      <c r="AI14" s="921"/>
      <c r="AJ14" s="938"/>
      <c r="AN14" s="872">
        <v>3</v>
      </c>
      <c r="AO14" s="872" t="s">
        <v>684</v>
      </c>
    </row>
    <row r="15" spans="2:55">
      <c r="B15" s="876">
        <v>1</v>
      </c>
      <c r="C15" s="877" t="s">
        <v>640</v>
      </c>
      <c r="D15" s="892">
        <v>1.05</v>
      </c>
      <c r="E15" s="879" t="s">
        <v>641</v>
      </c>
      <c r="F15" s="880">
        <f>[52]สรุปวัสดุและค่าดำเนินการ!L22</f>
        <v>2491.54</v>
      </c>
      <c r="G15" s="881" t="s">
        <v>605</v>
      </c>
      <c r="H15" s="882">
        <f t="shared" ref="H15:H17" si="3">TRUNC(D15*F15,2)</f>
        <v>2616.11</v>
      </c>
      <c r="I15" s="902">
        <f>0.4*$H$15</f>
        <v>1046.444</v>
      </c>
      <c r="J15" s="903">
        <f>0.35*$H$15</f>
        <v>915.63850000000002</v>
      </c>
      <c r="K15" s="902">
        <f>0.32*$H$15</f>
        <v>837.15520000000004</v>
      </c>
      <c r="L15" s="902">
        <f>0.29*$H$15</f>
        <v>758.67190000000005</v>
      </c>
      <c r="M15" s="903">
        <f>0.24*$H$15</f>
        <v>627.8664</v>
      </c>
      <c r="N15" s="904"/>
      <c r="O15" s="2042" t="s">
        <v>620</v>
      </c>
      <c r="P15" s="2043"/>
      <c r="Q15" s="923" t="s">
        <v>621</v>
      </c>
      <c r="R15" s="2043" t="s">
        <v>648</v>
      </c>
      <c r="S15" s="2043"/>
      <c r="T15" s="2043"/>
      <c r="U15" s="2042" t="s">
        <v>186</v>
      </c>
      <c r="V15" s="2043"/>
      <c r="W15" s="2044"/>
      <c r="Z15" s="936" t="s">
        <v>685</v>
      </c>
      <c r="AA15" s="921"/>
      <c r="AB15" s="941"/>
      <c r="AC15" s="919"/>
      <c r="AD15" s="940"/>
      <c r="AE15" s="938"/>
      <c r="AF15" s="919"/>
      <c r="AG15" s="920"/>
      <c r="AH15" s="957"/>
      <c r="AI15" s="920"/>
      <c r="AJ15" s="919"/>
      <c r="AN15" s="872">
        <v>4</v>
      </c>
      <c r="AO15" s="872" t="s">
        <v>686</v>
      </c>
    </row>
    <row r="16" spans="2:55">
      <c r="B16" s="883">
        <v>2</v>
      </c>
      <c r="C16" s="884" t="s">
        <v>648</v>
      </c>
      <c r="D16" s="893">
        <v>1.2</v>
      </c>
      <c r="E16" s="886" t="s">
        <v>641</v>
      </c>
      <c r="F16" s="887">
        <f>[52]สรุปวัสดุและค่าดำเนินการ!L25</f>
        <v>254.65</v>
      </c>
      <c r="G16" s="888" t="s">
        <v>605</v>
      </c>
      <c r="H16" s="882">
        <f t="shared" si="3"/>
        <v>305.58</v>
      </c>
      <c r="I16" s="907">
        <f>0.524*$H$16</f>
        <v>160.12392</v>
      </c>
      <c r="J16" s="908">
        <f>0.572*$H$16</f>
        <v>174.79176000000001</v>
      </c>
      <c r="K16" s="907">
        <f>0.596*$H$16</f>
        <v>182.12567999999999</v>
      </c>
      <c r="L16" s="907">
        <f>0.52*$H$16</f>
        <v>158.9016</v>
      </c>
      <c r="M16" s="908">
        <f>0.52*$H$16</f>
        <v>158.9016</v>
      </c>
      <c r="N16" s="904"/>
      <c r="O16" s="2046" t="s">
        <v>634</v>
      </c>
      <c r="P16" s="2047"/>
      <c r="Q16" s="924" t="s">
        <v>635</v>
      </c>
      <c r="R16" s="925"/>
      <c r="S16" s="901" t="s">
        <v>687</v>
      </c>
      <c r="T16" s="901"/>
      <c r="U16" s="900"/>
      <c r="V16" s="901" t="str">
        <f>S16</f>
        <v>(ลิตร)</v>
      </c>
      <c r="W16" s="926"/>
      <c r="Z16" s="939" t="s">
        <v>610</v>
      </c>
      <c r="AA16" s="921"/>
      <c r="AB16" s="941"/>
      <c r="AC16" s="938">
        <v>1</v>
      </c>
      <c r="AD16" s="940" t="s">
        <v>83</v>
      </c>
      <c r="AE16" s="938"/>
      <c r="AF16" s="954"/>
      <c r="AG16" s="959"/>
      <c r="AH16" s="954"/>
      <c r="AI16" s="919"/>
      <c r="AJ16" s="919"/>
      <c r="AN16" s="872">
        <v>5</v>
      </c>
      <c r="AO16" s="872" t="s">
        <v>688</v>
      </c>
    </row>
    <row r="17" spans="2:41">
      <c r="B17" s="883">
        <v>3</v>
      </c>
      <c r="C17" s="884" t="s">
        <v>186</v>
      </c>
      <c r="D17" s="893">
        <v>1.1499999999999999</v>
      </c>
      <c r="E17" s="886" t="s">
        <v>641</v>
      </c>
      <c r="F17" s="887">
        <f>[52]สรุปวัสดุและค่าดำเนินการ!L23</f>
        <v>762.69</v>
      </c>
      <c r="G17" s="888" t="s">
        <v>605</v>
      </c>
      <c r="H17" s="882">
        <f t="shared" si="3"/>
        <v>877.09</v>
      </c>
      <c r="I17" s="907">
        <f>0.728*$H$17</f>
        <v>638.52152000000001</v>
      </c>
      <c r="J17" s="908">
        <f>0.736*$H$17</f>
        <v>645.53823999999997</v>
      </c>
      <c r="K17" s="907">
        <f>0.764*$H$17</f>
        <v>670.09676000000002</v>
      </c>
      <c r="L17" s="907">
        <f>0.725*$H$17</f>
        <v>635.89025000000004</v>
      </c>
      <c r="M17" s="908">
        <f>0.87*$H$17</f>
        <v>763.06830000000002</v>
      </c>
      <c r="N17" s="904"/>
      <c r="O17" s="905"/>
      <c r="P17" s="906"/>
      <c r="Q17" s="927"/>
      <c r="R17" s="928" t="s">
        <v>642</v>
      </c>
      <c r="S17" s="929"/>
      <c r="T17" s="930" t="s">
        <v>643</v>
      </c>
      <c r="U17" s="928" t="s">
        <v>642</v>
      </c>
      <c r="V17" s="929"/>
      <c r="W17" s="930" t="s">
        <v>643</v>
      </c>
      <c r="Z17" s="939" t="s">
        <v>624</v>
      </c>
      <c r="AA17" s="939"/>
      <c r="AB17" s="941"/>
      <c r="AC17" s="942">
        <v>1</v>
      </c>
      <c r="AD17" s="940" t="s">
        <v>625</v>
      </c>
      <c r="AE17" s="943">
        <f t="shared" ref="AE17:AE20" si="4">AE4</f>
        <v>532.71</v>
      </c>
      <c r="AF17" s="940" t="s">
        <v>445</v>
      </c>
      <c r="AG17" s="937" t="s">
        <v>605</v>
      </c>
      <c r="AH17" s="938">
        <f t="shared" ref="AH17:AH20" si="5">ROUND(AE17*AC17,2)</f>
        <v>532.71</v>
      </c>
      <c r="AI17" s="920" t="s">
        <v>626</v>
      </c>
      <c r="AJ17" s="919" t="s">
        <v>607</v>
      </c>
      <c r="AN17" s="872">
        <v>6</v>
      </c>
      <c r="AO17" s="872" t="s">
        <v>689</v>
      </c>
    </row>
    <row r="18" spans="2:41">
      <c r="B18" s="889">
        <v>4</v>
      </c>
      <c r="C18" s="890" t="s">
        <v>658</v>
      </c>
      <c r="D18" s="890"/>
      <c r="E18" s="890"/>
      <c r="F18" s="890"/>
      <c r="G18" s="890"/>
      <c r="H18" s="891"/>
      <c r="I18" s="910">
        <v>0</v>
      </c>
      <c r="J18" s="911">
        <v>0</v>
      </c>
      <c r="K18" s="910">
        <v>0</v>
      </c>
      <c r="L18" s="910">
        <v>0</v>
      </c>
      <c r="M18" s="911">
        <v>0</v>
      </c>
      <c r="N18" s="904"/>
      <c r="O18" s="2048" t="s">
        <v>615</v>
      </c>
      <c r="P18" s="2048"/>
      <c r="Q18" s="909">
        <v>400</v>
      </c>
      <c r="R18" s="915">
        <v>511</v>
      </c>
      <c r="S18" s="931" t="s">
        <v>690</v>
      </c>
      <c r="T18" s="916">
        <v>538</v>
      </c>
      <c r="U18" s="915">
        <v>715</v>
      </c>
      <c r="V18" s="931" t="s">
        <v>691</v>
      </c>
      <c r="W18" s="916">
        <v>741</v>
      </c>
      <c r="Z18" s="939" t="s">
        <v>636</v>
      </c>
      <c r="AA18" s="921"/>
      <c r="AB18" s="941"/>
      <c r="AC18" s="942">
        <v>0.3</v>
      </c>
      <c r="AD18" s="940" t="s">
        <v>625</v>
      </c>
      <c r="AE18" s="943">
        <f t="shared" si="4"/>
        <v>443.93</v>
      </c>
      <c r="AF18" s="940" t="s">
        <v>445</v>
      </c>
      <c r="AG18" s="937" t="s">
        <v>605</v>
      </c>
      <c r="AH18" s="938">
        <f t="shared" si="5"/>
        <v>133.18</v>
      </c>
      <c r="AI18" s="920" t="s">
        <v>626</v>
      </c>
      <c r="AJ18" s="919" t="s">
        <v>637</v>
      </c>
      <c r="AN18" s="872">
        <v>7</v>
      </c>
      <c r="AO18" s="872" t="s">
        <v>692</v>
      </c>
    </row>
    <row r="19" spans="2:41">
      <c r="B19" s="2049" t="s">
        <v>109</v>
      </c>
      <c r="C19" s="2050"/>
      <c r="D19" s="2050"/>
      <c r="E19" s="2050"/>
      <c r="F19" s="2050"/>
      <c r="G19" s="2050"/>
      <c r="H19" s="2051"/>
      <c r="I19" s="912">
        <f t="shared" ref="I19:M19" si="6">SUM(I15:I18)</f>
        <v>1845.08944</v>
      </c>
      <c r="J19" s="913">
        <f t="shared" si="6"/>
        <v>1735.9684999999999</v>
      </c>
      <c r="K19" s="912">
        <f t="shared" si="6"/>
        <v>1689.3776399999999</v>
      </c>
      <c r="L19" s="912">
        <f t="shared" si="6"/>
        <v>1553.4637499999999</v>
      </c>
      <c r="M19" s="913">
        <f t="shared" si="6"/>
        <v>1549.8362999999999</v>
      </c>
      <c r="N19" s="914"/>
      <c r="O19" s="2048" t="s">
        <v>616</v>
      </c>
      <c r="P19" s="2048"/>
      <c r="Q19" s="909">
        <v>350</v>
      </c>
      <c r="R19" s="915">
        <v>549</v>
      </c>
      <c r="S19" s="931" t="s">
        <v>693</v>
      </c>
      <c r="T19" s="916">
        <v>595</v>
      </c>
      <c r="U19" s="915">
        <v>715</v>
      </c>
      <c r="V19" s="931" t="s">
        <v>694</v>
      </c>
      <c r="W19" s="916">
        <v>757</v>
      </c>
      <c r="Z19" s="939" t="s">
        <v>644</v>
      </c>
      <c r="AA19" s="921"/>
      <c r="AB19" s="941"/>
      <c r="AC19" s="942">
        <v>0.3</v>
      </c>
      <c r="AD19" s="940" t="s">
        <v>645</v>
      </c>
      <c r="AE19" s="943">
        <f t="shared" si="4"/>
        <v>30.37</v>
      </c>
      <c r="AF19" s="940" t="s">
        <v>445</v>
      </c>
      <c r="AG19" s="937" t="s">
        <v>605</v>
      </c>
      <c r="AH19" s="938">
        <f t="shared" si="5"/>
        <v>9.11</v>
      </c>
      <c r="AI19" s="920" t="s">
        <v>626</v>
      </c>
      <c r="AJ19" s="919" t="s">
        <v>627</v>
      </c>
    </row>
    <row r="20" spans="2:41">
      <c r="B20" s="894"/>
      <c r="O20" s="2048" t="s">
        <v>617</v>
      </c>
      <c r="P20" s="2048"/>
      <c r="Q20" s="909">
        <v>320</v>
      </c>
      <c r="R20" s="915">
        <v>578</v>
      </c>
      <c r="S20" s="931" t="s">
        <v>695</v>
      </c>
      <c r="T20" s="916">
        <v>615</v>
      </c>
      <c r="U20" s="915">
        <v>715</v>
      </c>
      <c r="V20" s="931" t="s">
        <v>696</v>
      </c>
      <c r="W20" s="916">
        <v>841</v>
      </c>
      <c r="Z20" s="939" t="s">
        <v>80</v>
      </c>
      <c r="AA20" s="921"/>
      <c r="AB20" s="941"/>
      <c r="AC20" s="942">
        <v>0.25</v>
      </c>
      <c r="AD20" s="940" t="s">
        <v>651</v>
      </c>
      <c r="AE20" s="943">
        <f t="shared" si="4"/>
        <v>51.41</v>
      </c>
      <c r="AF20" s="940" t="s">
        <v>445</v>
      </c>
      <c r="AG20" s="937" t="s">
        <v>605</v>
      </c>
      <c r="AH20" s="938">
        <f t="shared" si="5"/>
        <v>12.85</v>
      </c>
      <c r="AI20" s="920" t="s">
        <v>626</v>
      </c>
      <c r="AJ20" s="919" t="s">
        <v>652</v>
      </c>
      <c r="AN20" s="896" t="s">
        <v>100</v>
      </c>
    </row>
    <row r="21" spans="2:41">
      <c r="B21" s="895" t="s">
        <v>100</v>
      </c>
      <c r="O21" s="2048" t="s">
        <v>618</v>
      </c>
      <c r="P21" s="2048"/>
      <c r="Q21" s="909">
        <v>290</v>
      </c>
      <c r="R21" s="915">
        <v>609</v>
      </c>
      <c r="S21" s="931" t="s">
        <v>697</v>
      </c>
      <c r="T21" s="916">
        <v>632</v>
      </c>
      <c r="U21" s="915">
        <v>715</v>
      </c>
      <c r="V21" s="931" t="s">
        <v>698</v>
      </c>
      <c r="W21" s="916">
        <v>735</v>
      </c>
      <c r="Z21" s="939"/>
      <c r="AA21" s="921"/>
      <c r="AB21" s="941"/>
      <c r="AC21" s="938"/>
      <c r="AD21" s="940"/>
      <c r="AE21" s="938"/>
      <c r="AF21" s="941" t="s">
        <v>109</v>
      </c>
      <c r="AG21" s="937" t="s">
        <v>605</v>
      </c>
      <c r="AH21" s="938">
        <f>ROUND(SUM(AH17:AH20),2)</f>
        <v>687.85</v>
      </c>
      <c r="AI21" s="920" t="s">
        <v>626</v>
      </c>
      <c r="AJ21" s="919" t="s">
        <v>657</v>
      </c>
      <c r="AN21" s="872">
        <v>1</v>
      </c>
      <c r="AO21" s="872" t="s">
        <v>699</v>
      </c>
    </row>
    <row r="22" spans="2:41">
      <c r="C22" s="872" t="s">
        <v>700</v>
      </c>
      <c r="O22" s="915"/>
      <c r="P22" s="916"/>
      <c r="Q22" s="909"/>
      <c r="R22" s="915"/>
      <c r="S22" s="873"/>
      <c r="T22" s="932"/>
      <c r="U22" s="915"/>
      <c r="V22" s="873"/>
      <c r="W22" s="916"/>
      <c r="Z22" s="939" t="s">
        <v>701</v>
      </c>
      <c r="AA22" s="944"/>
      <c r="AB22" s="941"/>
      <c r="AC22" s="938"/>
      <c r="AD22" s="940"/>
      <c r="AE22" s="955"/>
      <c r="AF22" s="946"/>
      <c r="AG22" s="937" t="s">
        <v>605</v>
      </c>
      <c r="AH22" s="938">
        <f>ROUND(AH21/5,2)</f>
        <v>137.57</v>
      </c>
      <c r="AI22" s="920" t="s">
        <v>626</v>
      </c>
      <c r="AJ22" s="919" t="s">
        <v>702</v>
      </c>
      <c r="AO22" s="872" t="s">
        <v>703</v>
      </c>
    </row>
    <row r="23" spans="2:41">
      <c r="C23" s="872" t="s">
        <v>704</v>
      </c>
      <c r="O23" s="2052" t="s">
        <v>671</v>
      </c>
      <c r="P23" s="2053"/>
      <c r="Q23" s="933">
        <v>240</v>
      </c>
      <c r="R23" s="934"/>
      <c r="S23" s="935">
        <v>520</v>
      </c>
      <c r="T23" s="891"/>
      <c r="U23" s="889"/>
      <c r="V23" s="935">
        <v>870</v>
      </c>
      <c r="W23" s="917"/>
      <c r="Z23" s="939" t="s">
        <v>665</v>
      </c>
      <c r="AA23" s="921"/>
      <c r="AB23" s="941"/>
      <c r="AC23" s="942"/>
      <c r="AD23" s="948"/>
      <c r="AE23" s="943"/>
      <c r="AF23" s="948"/>
      <c r="AG23" s="937" t="s">
        <v>605</v>
      </c>
      <c r="AH23" s="938">
        <f>AH10</f>
        <v>0</v>
      </c>
      <c r="AI23" s="920" t="s">
        <v>626</v>
      </c>
      <c r="AJ23" s="919" t="s">
        <v>666</v>
      </c>
      <c r="AN23" s="872">
        <v>2</v>
      </c>
      <c r="AO23" s="872" t="s">
        <v>705</v>
      </c>
    </row>
    <row r="24" spans="2:41">
      <c r="C24" s="872" t="s">
        <v>706</v>
      </c>
      <c r="D24" s="896"/>
      <c r="E24" s="896"/>
      <c r="F24" s="896"/>
      <c r="G24" s="896"/>
      <c r="H24" s="896"/>
      <c r="I24" s="896"/>
      <c r="J24" s="896"/>
      <c r="K24" s="896"/>
      <c r="L24" s="896"/>
      <c r="M24" s="896"/>
      <c r="N24" s="896"/>
      <c r="Z24" s="939" t="s">
        <v>668</v>
      </c>
      <c r="AA24" s="944"/>
      <c r="AB24" s="941"/>
      <c r="AC24" s="942"/>
      <c r="AD24" s="948"/>
      <c r="AE24" s="956"/>
      <c r="AF24" s="948"/>
      <c r="AG24" s="937" t="s">
        <v>605</v>
      </c>
      <c r="AH24" s="938">
        <f>ROUND(AH11,2)</f>
        <v>139</v>
      </c>
      <c r="AI24" s="920" t="s">
        <v>626</v>
      </c>
      <c r="AJ24" s="919" t="s">
        <v>669</v>
      </c>
      <c r="AO24" s="872" t="s">
        <v>707</v>
      </c>
    </row>
    <row r="25" spans="2:41">
      <c r="C25" s="872" t="s">
        <v>708</v>
      </c>
      <c r="O25" s="918" t="s">
        <v>100</v>
      </c>
      <c r="P25" s="872" t="s">
        <v>709</v>
      </c>
      <c r="Z25" s="939" t="s">
        <v>672</v>
      </c>
      <c r="AA25" s="944"/>
      <c r="AB25" s="941"/>
      <c r="AC25" s="942"/>
      <c r="AD25" s="940"/>
      <c r="AE25" s="942"/>
      <c r="AF25" s="940"/>
      <c r="AG25" s="937" t="s">
        <v>605</v>
      </c>
      <c r="AH25" s="962">
        <f>ROUND(AH22+AH23+AH24,2)</f>
        <v>276.57</v>
      </c>
      <c r="AI25" s="920" t="s">
        <v>626</v>
      </c>
      <c r="AJ25" s="919" t="s">
        <v>673</v>
      </c>
    </row>
    <row r="26" spans="2:41">
      <c r="P26" s="872" t="s">
        <v>710</v>
      </c>
      <c r="Z26" s="936" t="s">
        <v>675</v>
      </c>
      <c r="AA26" s="944"/>
      <c r="AB26" s="941"/>
      <c r="AC26" s="942"/>
      <c r="AD26" s="940"/>
      <c r="AE26" s="942"/>
      <c r="AF26" s="940"/>
      <c r="AG26" s="937" t="s">
        <v>605</v>
      </c>
      <c r="AH26" s="964">
        <f>ROUNDDOWN(AH25,-0.1)</f>
        <v>276</v>
      </c>
      <c r="AI26" s="920" t="s">
        <v>626</v>
      </c>
      <c r="AJ26" s="919" t="s">
        <v>676</v>
      </c>
    </row>
    <row r="27" spans="2:41">
      <c r="B27" s="894" t="s">
        <v>711</v>
      </c>
      <c r="P27" s="872" t="s">
        <v>712</v>
      </c>
    </row>
    <row r="28" spans="2:41">
      <c r="C28" s="894" t="s">
        <v>713</v>
      </c>
      <c r="P28" s="872" t="s">
        <v>714</v>
      </c>
      <c r="Z28" s="936" t="s">
        <v>715</v>
      </c>
      <c r="AA28" s="921"/>
      <c r="AB28" s="941"/>
      <c r="AC28" s="919"/>
      <c r="AD28" s="940"/>
      <c r="AE28" s="938"/>
      <c r="AF28" s="919"/>
      <c r="AG28" s="920"/>
      <c r="AH28" s="957"/>
      <c r="AI28" s="920"/>
      <c r="AJ28" s="919"/>
    </row>
    <row r="29" spans="2:41">
      <c r="P29" s="872" t="s">
        <v>716</v>
      </c>
      <c r="Z29" s="939" t="s">
        <v>610</v>
      </c>
      <c r="AA29" s="921"/>
      <c r="AB29" s="941"/>
      <c r="AC29" s="938">
        <v>1</v>
      </c>
      <c r="AD29" s="940" t="s">
        <v>83</v>
      </c>
      <c r="AE29" s="938"/>
      <c r="AF29" s="954"/>
      <c r="AG29" s="959"/>
      <c r="AH29" s="954"/>
      <c r="AI29" s="919"/>
      <c r="AJ29" s="919"/>
    </row>
    <row r="30" spans="2:41">
      <c r="P30" s="872" t="s">
        <v>717</v>
      </c>
      <c r="Z30" s="939" t="s">
        <v>624</v>
      </c>
      <c r="AA30" s="939"/>
      <c r="AB30" s="941"/>
      <c r="AC30" s="942">
        <v>1</v>
      </c>
      <c r="AD30" s="940" t="s">
        <v>625</v>
      </c>
      <c r="AE30" s="943">
        <f>AE17</f>
        <v>532.71</v>
      </c>
      <c r="AF30" s="940" t="s">
        <v>445</v>
      </c>
      <c r="AG30" s="937" t="s">
        <v>605</v>
      </c>
      <c r="AH30" s="938">
        <f t="shared" ref="AH30:AH33" si="7">ROUND(AE30*AC30,2)</f>
        <v>532.71</v>
      </c>
      <c r="AI30" s="920" t="s">
        <v>626</v>
      </c>
      <c r="AJ30" s="919" t="s">
        <v>607</v>
      </c>
    </row>
    <row r="31" spans="2:41">
      <c r="P31" s="872" t="s">
        <v>718</v>
      </c>
      <c r="Z31" s="939" t="s">
        <v>719</v>
      </c>
      <c r="AA31" s="939"/>
      <c r="AB31" s="941"/>
      <c r="AC31" s="942">
        <v>1</v>
      </c>
      <c r="AD31" s="940" t="s">
        <v>83</v>
      </c>
      <c r="AE31" s="943">
        <f>TRUNC([52]สรุปวัสดุและค่าดำเนินการ!L37/(1.2*2.4),2)</f>
        <v>71.39</v>
      </c>
      <c r="AF31" s="940" t="s">
        <v>445</v>
      </c>
      <c r="AG31" s="937" t="s">
        <v>605</v>
      </c>
      <c r="AH31" s="938">
        <f t="shared" si="7"/>
        <v>71.39</v>
      </c>
      <c r="AI31" s="920" t="s">
        <v>626</v>
      </c>
      <c r="AJ31" s="919" t="s">
        <v>637</v>
      </c>
    </row>
    <row r="32" spans="2:41">
      <c r="P32" s="872" t="s">
        <v>720</v>
      </c>
      <c r="Z32" s="939" t="s">
        <v>636</v>
      </c>
      <c r="AA32" s="921"/>
      <c r="AB32" s="941"/>
      <c r="AC32" s="942">
        <v>0.3</v>
      </c>
      <c r="AD32" s="940" t="s">
        <v>625</v>
      </c>
      <c r="AE32" s="943">
        <f>AE18</f>
        <v>443.93</v>
      </c>
      <c r="AF32" s="940" t="s">
        <v>445</v>
      </c>
      <c r="AG32" s="937" t="s">
        <v>605</v>
      </c>
      <c r="AH32" s="938">
        <f t="shared" si="7"/>
        <v>133.18</v>
      </c>
      <c r="AI32" s="920" t="s">
        <v>626</v>
      </c>
      <c r="AJ32" s="919" t="s">
        <v>627</v>
      </c>
    </row>
    <row r="33" spans="15:36">
      <c r="Z33" s="939" t="s">
        <v>80</v>
      </c>
      <c r="AA33" s="921"/>
      <c r="AB33" s="941"/>
      <c r="AC33" s="942">
        <v>0.25</v>
      </c>
      <c r="AD33" s="940" t="s">
        <v>651</v>
      </c>
      <c r="AE33" s="943">
        <f>AE20</f>
        <v>51.41</v>
      </c>
      <c r="AF33" s="940" t="s">
        <v>445</v>
      </c>
      <c r="AG33" s="937" t="s">
        <v>605</v>
      </c>
      <c r="AH33" s="938">
        <f t="shared" si="7"/>
        <v>12.85</v>
      </c>
      <c r="AI33" s="920" t="s">
        <v>626</v>
      </c>
      <c r="AJ33" s="919" t="s">
        <v>652</v>
      </c>
    </row>
    <row r="34" spans="15:36">
      <c r="Z34" s="939"/>
      <c r="AA34" s="921"/>
      <c r="AB34" s="941"/>
      <c r="AC34" s="938"/>
      <c r="AD34" s="940"/>
      <c r="AE34" s="938"/>
      <c r="AF34" s="941" t="s">
        <v>109</v>
      </c>
      <c r="AG34" s="937" t="s">
        <v>605</v>
      </c>
      <c r="AH34" s="938">
        <f>ROUND(SUM(AH30:AH33),2)</f>
        <v>750.13</v>
      </c>
      <c r="AI34" s="920" t="s">
        <v>626</v>
      </c>
      <c r="AJ34" s="919" t="s">
        <v>657</v>
      </c>
    </row>
    <row r="35" spans="15:36">
      <c r="O35" s="894" t="s">
        <v>721</v>
      </c>
      <c r="Z35" s="939" t="s">
        <v>722</v>
      </c>
      <c r="AA35" s="944"/>
      <c r="AB35" s="941"/>
      <c r="AC35" s="938"/>
      <c r="AD35" s="940"/>
      <c r="AE35" s="955"/>
      <c r="AF35" s="946"/>
      <c r="AG35" s="937" t="s">
        <v>605</v>
      </c>
      <c r="AH35" s="938">
        <f>ROUND(AH34/3,2)</f>
        <v>250.04</v>
      </c>
      <c r="AI35" s="920" t="s">
        <v>626</v>
      </c>
      <c r="AJ35" s="919" t="s">
        <v>723</v>
      </c>
    </row>
    <row r="36" spans="15:36">
      <c r="O36" s="894" t="s">
        <v>724</v>
      </c>
      <c r="Z36" s="939" t="s">
        <v>665</v>
      </c>
      <c r="AA36" s="921"/>
      <c r="AB36" s="941"/>
      <c r="AC36" s="942"/>
      <c r="AD36" s="948"/>
      <c r="AE36" s="943"/>
      <c r="AF36" s="948"/>
      <c r="AG36" s="937" t="s">
        <v>605</v>
      </c>
      <c r="AH36" s="938">
        <f>AH23</f>
        <v>0</v>
      </c>
      <c r="AI36" s="920" t="s">
        <v>626</v>
      </c>
      <c r="AJ36" s="919" t="s">
        <v>666</v>
      </c>
    </row>
    <row r="37" spans="15:36">
      <c r="Z37" s="939" t="s">
        <v>668</v>
      </c>
      <c r="AA37" s="944"/>
      <c r="AB37" s="941"/>
      <c r="AC37" s="942"/>
      <c r="AD37" s="948"/>
      <c r="AE37" s="956"/>
      <c r="AF37" s="948"/>
      <c r="AG37" s="937" t="s">
        <v>605</v>
      </c>
      <c r="AH37" s="938">
        <f>AH24</f>
        <v>139</v>
      </c>
      <c r="AI37" s="920" t="s">
        <v>626</v>
      </c>
      <c r="AJ37" s="919" t="s">
        <v>669</v>
      </c>
    </row>
    <row r="38" spans="15:36">
      <c r="Z38" s="939" t="s">
        <v>672</v>
      </c>
      <c r="AA38" s="944"/>
      <c r="AB38" s="941"/>
      <c r="AC38" s="942"/>
      <c r="AD38" s="940"/>
      <c r="AE38" s="942"/>
      <c r="AF38" s="940"/>
      <c r="AG38" s="937" t="s">
        <v>605</v>
      </c>
      <c r="AH38" s="962">
        <f>ROUND(AH35+AH36+AH37,2)</f>
        <v>389.04</v>
      </c>
      <c r="AI38" s="920" t="s">
        <v>626</v>
      </c>
      <c r="AJ38" s="919" t="s">
        <v>673</v>
      </c>
    </row>
    <row r="39" spans="15:36">
      <c r="Z39" s="936" t="s">
        <v>675</v>
      </c>
      <c r="AA39" s="944"/>
      <c r="AB39" s="941"/>
      <c r="AC39" s="942"/>
      <c r="AD39" s="940"/>
      <c r="AE39" s="942"/>
      <c r="AF39" s="940"/>
      <c r="AG39" s="937" t="s">
        <v>605</v>
      </c>
      <c r="AH39" s="964">
        <f>ROUNDDOWN(AH38,-0.1)</f>
        <v>389</v>
      </c>
      <c r="AI39" s="920" t="s">
        <v>626</v>
      </c>
      <c r="AJ39" s="919" t="s">
        <v>676</v>
      </c>
    </row>
    <row r="52" spans="14:16">
      <c r="N52" s="919"/>
    </row>
    <row r="53" spans="14:16">
      <c r="N53" s="920"/>
      <c r="O53" s="919"/>
      <c r="P53" s="919"/>
    </row>
    <row r="54" spans="14:16">
      <c r="N54" s="919"/>
      <c r="O54" s="919"/>
      <c r="P54" s="919"/>
    </row>
    <row r="55" spans="14:16">
      <c r="N55" s="919"/>
      <c r="O55" s="919"/>
    </row>
    <row r="56" spans="14:16">
      <c r="N56" s="919"/>
      <c r="O56" s="919"/>
    </row>
    <row r="57" spans="14:16">
      <c r="N57" s="919"/>
      <c r="O57" s="919"/>
    </row>
    <row r="58" spans="14:16">
      <c r="N58" s="919"/>
      <c r="O58" s="919"/>
    </row>
    <row r="59" spans="14:16">
      <c r="N59" s="919"/>
      <c r="O59" s="919"/>
    </row>
    <row r="60" spans="14:16">
      <c r="N60" s="919"/>
      <c r="O60" s="921"/>
    </row>
    <row r="61" spans="14:16">
      <c r="N61" s="919"/>
      <c r="O61" s="919"/>
    </row>
    <row r="62" spans="14:16">
      <c r="N62" s="919"/>
      <c r="O62" s="919"/>
    </row>
    <row r="63" spans="14:16">
      <c r="N63" s="919"/>
      <c r="O63" s="919"/>
    </row>
    <row r="64" spans="14:16">
      <c r="N64" s="922"/>
      <c r="O64" s="919"/>
    </row>
    <row r="65" spans="10:15">
      <c r="N65" s="938"/>
      <c r="O65" s="922"/>
    </row>
    <row r="66" spans="10:15">
      <c r="N66" s="919"/>
      <c r="O66" s="921"/>
    </row>
    <row r="67" spans="10:15">
      <c r="N67" s="919"/>
      <c r="O67" s="919"/>
    </row>
    <row r="68" spans="10:15">
      <c r="N68" s="919"/>
      <c r="O68" s="919"/>
    </row>
    <row r="69" spans="10:15">
      <c r="N69" s="919"/>
      <c r="O69" s="919"/>
    </row>
    <row r="70" spans="10:15">
      <c r="N70" s="919"/>
      <c r="O70" s="919"/>
    </row>
    <row r="71" spans="10:15">
      <c r="N71" s="919"/>
      <c r="O71" s="919"/>
    </row>
    <row r="72" spans="10:15">
      <c r="N72" s="919"/>
      <c r="O72" s="919"/>
    </row>
    <row r="73" spans="10:15">
      <c r="N73" s="919"/>
      <c r="O73" s="919"/>
    </row>
    <row r="74" spans="10:15">
      <c r="N74" s="919"/>
      <c r="O74" s="919"/>
    </row>
    <row r="75" spans="10:15">
      <c r="N75" s="919"/>
      <c r="O75" s="919"/>
    </row>
    <row r="76" spans="10:15">
      <c r="N76" s="919"/>
      <c r="O76" s="919"/>
    </row>
    <row r="77" spans="10:15">
      <c r="N77" s="919"/>
      <c r="O77" s="919"/>
    </row>
    <row r="78" spans="10:15">
      <c r="J78" s="921"/>
      <c r="K78" s="921"/>
      <c r="L78" s="939"/>
      <c r="M78" s="921"/>
      <c r="N78" s="919"/>
      <c r="O78" s="919"/>
    </row>
    <row r="79" spans="10:15">
      <c r="N79" s="921"/>
      <c r="O79" s="921"/>
    </row>
  </sheetData>
  <sheetProtection selectLockedCells="1" selectUnlockedCells="1"/>
  <mergeCells count="30">
    <mergeCell ref="O20:P20"/>
    <mergeCell ref="O21:P21"/>
    <mergeCell ref="O23:P23"/>
    <mergeCell ref="U15:W15"/>
    <mergeCell ref="O16:P16"/>
    <mergeCell ref="O18:P18"/>
    <mergeCell ref="R15:T15"/>
    <mergeCell ref="B19:H19"/>
    <mergeCell ref="O19:P19"/>
    <mergeCell ref="O12:P12"/>
    <mergeCell ref="B13:H13"/>
    <mergeCell ref="B14:H14"/>
    <mergeCell ref="O15:P15"/>
    <mergeCell ref="O7:P7"/>
    <mergeCell ref="O8:P8"/>
    <mergeCell ref="O9:P9"/>
    <mergeCell ref="B10:H10"/>
    <mergeCell ref="O10:P10"/>
    <mergeCell ref="B4:H4"/>
    <mergeCell ref="O4:P4"/>
    <mergeCell ref="R4:T4"/>
    <mergeCell ref="U4:W4"/>
    <mergeCell ref="B5:H5"/>
    <mergeCell ref="O5:P5"/>
    <mergeCell ref="B1:M1"/>
    <mergeCell ref="O1:W1"/>
    <mergeCell ref="Z1:AK1"/>
    <mergeCell ref="AM1:AY1"/>
    <mergeCell ref="B2:M2"/>
    <mergeCell ref="O2:W2"/>
  </mergeCells>
  <conditionalFormatting sqref="I4:I10">
    <cfRule type="expression" dxfId="3" priority="4">
      <formula>$BC$2=$I$4</formula>
    </cfRule>
  </conditionalFormatting>
  <conditionalFormatting sqref="J4:J10">
    <cfRule type="expression" dxfId="2" priority="3">
      <formula>$BC$2=$J$4</formula>
    </cfRule>
  </conditionalFormatting>
  <conditionalFormatting sqref="K4:K10">
    <cfRule type="expression" dxfId="1" priority="2">
      <formula>$BC$2=$K$4</formula>
    </cfRule>
  </conditionalFormatting>
  <conditionalFormatting sqref="L4:L10">
    <cfRule type="expression" dxfId="0" priority="1">
      <formula>$BC$2=$L$4</formula>
    </cfRule>
  </conditionalFormatting>
  <printOptions horizontalCentered="1"/>
  <pageMargins left="0.64" right="0.35433070866141703" top="0.511811023622047" bottom="0.43307086614173201" header="0.23622047244094499" footer="0.27559055118110198"/>
  <pageSetup paperSize="9" scale="80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2060"/>
  </sheetPr>
  <dimension ref="A1:K28"/>
  <sheetViews>
    <sheetView zoomScale="130" zoomScaleNormal="130" workbookViewId="0">
      <selection activeCell="K6" sqref="K6"/>
    </sheetView>
  </sheetViews>
  <sheetFormatPr defaultColWidth="8" defaultRowHeight="21"/>
  <cols>
    <col min="1" max="1" width="6.33203125" style="311" customWidth="1"/>
    <col min="2" max="2" width="8" style="311"/>
    <col min="3" max="3" width="29.5546875" style="311" customWidth="1"/>
    <col min="4" max="4" width="6.21875" style="311" customWidth="1"/>
    <col min="5" max="5" width="7" style="311" customWidth="1"/>
    <col min="6" max="6" width="9.21875" style="311" bestFit="1" customWidth="1"/>
    <col min="7" max="7" width="11.109375" style="311" bestFit="1" customWidth="1"/>
    <col min="8" max="8" width="11.77734375" style="311" customWidth="1"/>
    <col min="9" max="9" width="11.44140625" style="311" bestFit="1" customWidth="1"/>
    <col min="10" max="10" width="10.88671875" style="311" customWidth="1"/>
    <col min="11" max="11" width="8.109375" style="311" bestFit="1" customWidth="1"/>
    <col min="12" max="16384" width="8" style="311"/>
  </cols>
  <sheetData>
    <row r="1" spans="1:11" ht="22.2">
      <c r="A1" s="2054"/>
      <c r="B1" s="2054"/>
      <c r="C1" s="2054"/>
      <c r="D1" s="2054"/>
      <c r="E1" s="2054"/>
      <c r="F1" s="2054"/>
      <c r="G1" s="2054"/>
      <c r="H1" s="2054"/>
    </row>
    <row r="2" spans="1:11">
      <c r="A2" s="2055" t="s">
        <v>725</v>
      </c>
      <c r="B2" s="2055"/>
      <c r="C2" s="2055"/>
      <c r="D2" s="2055"/>
      <c r="E2" s="2055"/>
      <c r="F2" s="2055"/>
      <c r="G2" s="2055"/>
      <c r="H2" s="2055"/>
      <c r="I2" s="1599"/>
      <c r="J2" s="1599"/>
      <c r="K2" s="1599"/>
    </row>
    <row r="3" spans="1:11">
      <c r="A3" s="2056" t="s">
        <v>726</v>
      </c>
      <c r="B3" s="2057"/>
      <c r="C3" s="2057"/>
      <c r="D3" s="2057"/>
      <c r="E3" s="2057"/>
      <c r="F3" s="2057"/>
      <c r="G3" s="2057"/>
      <c r="H3" s="2058"/>
      <c r="I3" s="1599"/>
      <c r="J3" s="1599"/>
      <c r="K3" s="1599"/>
    </row>
    <row r="4" spans="1:11">
      <c r="A4" s="2061" t="s">
        <v>95</v>
      </c>
      <c r="B4" s="2067" t="s">
        <v>96</v>
      </c>
      <c r="C4" s="2068"/>
      <c r="D4" s="2063" t="s">
        <v>179</v>
      </c>
      <c r="E4" s="2063" t="s">
        <v>11</v>
      </c>
      <c r="F4" s="1600" t="s">
        <v>180</v>
      </c>
      <c r="G4" s="1601" t="s">
        <v>727</v>
      </c>
      <c r="H4" s="2065" t="s">
        <v>100</v>
      </c>
      <c r="I4" s="1599"/>
      <c r="J4" s="1599"/>
      <c r="K4" s="1599"/>
    </row>
    <row r="5" spans="1:11">
      <c r="A5" s="2062"/>
      <c r="B5" s="2069"/>
      <c r="C5" s="2070"/>
      <c r="D5" s="2064"/>
      <c r="E5" s="2064"/>
      <c r="F5" s="1602" t="s">
        <v>31</v>
      </c>
      <c r="G5" s="1602" t="s">
        <v>31</v>
      </c>
      <c r="H5" s="2066"/>
      <c r="I5" s="1599"/>
      <c r="J5" s="1599"/>
      <c r="K5" s="1599"/>
    </row>
    <row r="6" spans="1:11">
      <c r="A6" s="1603"/>
      <c r="B6" s="1604" t="s">
        <v>728</v>
      </c>
      <c r="C6" s="1605"/>
      <c r="D6" s="1606"/>
      <c r="E6" s="1606"/>
      <c r="F6" s="1607"/>
      <c r="G6" s="1608" t="s">
        <v>460</v>
      </c>
      <c r="H6" s="1609"/>
      <c r="I6" s="1599"/>
      <c r="J6" s="1599"/>
      <c r="K6" s="1599"/>
    </row>
    <row r="7" spans="1:11">
      <c r="A7" s="1610">
        <v>1</v>
      </c>
      <c r="B7" s="1611" t="s">
        <v>729</v>
      </c>
      <c r="C7" s="1612"/>
      <c r="D7" s="1613"/>
      <c r="E7" s="1614"/>
      <c r="F7" s="1615"/>
      <c r="G7" s="1616" t="s">
        <v>460</v>
      </c>
      <c r="H7" s="1617" t="s">
        <v>460</v>
      </c>
      <c r="I7" s="1599"/>
      <c r="J7" s="1599"/>
      <c r="K7" s="1599"/>
    </row>
    <row r="8" spans="1:11">
      <c r="A8" s="1618"/>
      <c r="B8" s="1619" t="s">
        <v>730</v>
      </c>
      <c r="C8" s="1619"/>
      <c r="D8" s="1620">
        <v>13</v>
      </c>
      <c r="E8" s="1621" t="s">
        <v>731</v>
      </c>
      <c r="F8" s="1622">
        <v>5.14</v>
      </c>
      <c r="G8" s="1623">
        <f t="shared" ref="G8:G11" si="0">D8*F8</f>
        <v>66.819999999999993</v>
      </c>
      <c r="H8" s="1624" t="s">
        <v>732</v>
      </c>
      <c r="I8" s="1625">
        <v>91</v>
      </c>
      <c r="J8" s="1626">
        <f t="shared" ref="J8:J11" si="1">D8*F8</f>
        <v>66.819999999999993</v>
      </c>
      <c r="K8" s="1599"/>
    </row>
    <row r="9" spans="1:11">
      <c r="A9" s="1618"/>
      <c r="B9" s="1619" t="s">
        <v>733</v>
      </c>
      <c r="C9" s="1619"/>
      <c r="D9" s="1627">
        <v>2.3E-2</v>
      </c>
      <c r="E9" s="1621" t="s">
        <v>81</v>
      </c>
      <c r="F9" s="1622">
        <f>'[72]2.ข้อมูลวัสดุ'!D16/1000</f>
        <v>2.3364500000000001</v>
      </c>
      <c r="G9" s="1623">
        <f t="shared" si="0"/>
        <v>5.3738349999999997E-2</v>
      </c>
      <c r="H9" s="1624" t="s">
        <v>734</v>
      </c>
      <c r="I9" s="1625">
        <v>0.05</v>
      </c>
      <c r="J9" s="1626">
        <f t="shared" si="1"/>
        <v>5.3738349999999997E-2</v>
      </c>
      <c r="K9" s="1599"/>
    </row>
    <row r="10" spans="1:11">
      <c r="A10" s="1618"/>
      <c r="B10" s="1619" t="s">
        <v>735</v>
      </c>
      <c r="C10" s="1619"/>
      <c r="D10" s="1620">
        <v>0.11</v>
      </c>
      <c r="E10" s="1621" t="s">
        <v>184</v>
      </c>
      <c r="F10" s="1622">
        <f>'[73]3.สืบท่อโฟมลูกรังทรายเหล็กป้าย'!G12</f>
        <v>254.65</v>
      </c>
      <c r="G10" s="1623">
        <f t="shared" si="0"/>
        <v>28.011500000000002</v>
      </c>
      <c r="H10" s="1624" t="s">
        <v>736</v>
      </c>
      <c r="I10" s="1625">
        <v>40.090000000000003</v>
      </c>
      <c r="J10" s="1626">
        <f t="shared" si="1"/>
        <v>28.011500000000002</v>
      </c>
      <c r="K10" s="1599"/>
    </row>
    <row r="11" spans="1:11">
      <c r="A11" s="1618"/>
      <c r="B11" s="1619" t="s">
        <v>737</v>
      </c>
      <c r="C11" s="1619"/>
      <c r="D11" s="1620">
        <v>6</v>
      </c>
      <c r="E11" s="1621" t="s">
        <v>738</v>
      </c>
      <c r="F11" s="1628">
        <v>5.0000000000000001E-3</v>
      </c>
      <c r="G11" s="1623">
        <f t="shared" si="0"/>
        <v>0.03</v>
      </c>
      <c r="H11" s="1629" t="s">
        <v>739</v>
      </c>
      <c r="I11" s="1625">
        <v>0.02</v>
      </c>
      <c r="J11" s="1626">
        <f t="shared" si="1"/>
        <v>0.03</v>
      </c>
      <c r="K11" s="1599"/>
    </row>
    <row r="12" spans="1:11">
      <c r="A12" s="1630"/>
      <c r="B12" s="1619" t="s">
        <v>740</v>
      </c>
      <c r="C12" s="1619"/>
      <c r="D12" s="1631"/>
      <c r="E12" s="1631"/>
      <c r="F12" s="1632"/>
      <c r="G12" s="1633">
        <f>SUM(G8:G11)</f>
        <v>94.915238349999996</v>
      </c>
      <c r="H12" s="1634" t="s">
        <v>445</v>
      </c>
      <c r="I12" s="1633">
        <v>131.16</v>
      </c>
      <c r="J12" s="1633">
        <v>131.16</v>
      </c>
      <c r="K12" s="1599">
        <f>3/1000</f>
        <v>3.0000000000000001E-3</v>
      </c>
    </row>
    <row r="13" spans="1:11">
      <c r="A13" s="1618"/>
      <c r="B13" s="1635" t="s">
        <v>741</v>
      </c>
      <c r="C13" s="1635"/>
      <c r="D13" s="1636">
        <v>1</v>
      </c>
      <c r="E13" s="1637" t="s">
        <v>83</v>
      </c>
      <c r="F13" s="1638" t="s">
        <v>742</v>
      </c>
      <c r="G13" s="1639">
        <f>G12</f>
        <v>94.915238349999996</v>
      </c>
      <c r="H13" s="1640" t="s">
        <v>445</v>
      </c>
      <c r="I13" s="1641">
        <v>131.16</v>
      </c>
      <c r="J13" s="1641">
        <v>131.16</v>
      </c>
      <c r="K13" s="1599"/>
    </row>
    <row r="14" spans="1:11">
      <c r="A14" s="1610">
        <v>2</v>
      </c>
      <c r="B14" s="1611" t="s">
        <v>743</v>
      </c>
      <c r="C14" s="1612"/>
      <c r="D14" s="1613"/>
      <c r="E14" s="1614"/>
      <c r="F14" s="1615"/>
      <c r="G14" s="1616" t="s">
        <v>460</v>
      </c>
      <c r="H14" s="1617" t="s">
        <v>460</v>
      </c>
      <c r="I14" s="1599"/>
      <c r="J14" s="1599"/>
      <c r="K14" s="1599"/>
    </row>
    <row r="15" spans="1:11">
      <c r="A15" s="1618"/>
      <c r="B15" s="1619" t="s">
        <v>744</v>
      </c>
      <c r="C15" s="1619"/>
      <c r="D15" s="1620">
        <v>1</v>
      </c>
      <c r="E15" s="1621" t="s">
        <v>731</v>
      </c>
      <c r="F15" s="1622">
        <v>50</v>
      </c>
      <c r="G15" s="1623">
        <f>D15*F15</f>
        <v>50</v>
      </c>
      <c r="H15" s="1642" t="s">
        <v>745</v>
      </c>
      <c r="I15" s="1625">
        <v>50</v>
      </c>
      <c r="J15" s="1623">
        <f t="shared" ref="J15:J18" si="2">D15*F15</f>
        <v>50</v>
      </c>
      <c r="K15" s="1599"/>
    </row>
    <row r="16" spans="1:11">
      <c r="A16" s="1618"/>
      <c r="B16" s="1619" t="s">
        <v>746</v>
      </c>
      <c r="C16" s="1619"/>
      <c r="D16" s="1620">
        <f>5.7/25</f>
        <v>0.22800000000000001</v>
      </c>
      <c r="E16" s="1621" t="s">
        <v>81</v>
      </c>
      <c r="F16" s="1622">
        <f>F9</f>
        <v>2.3364500000000001</v>
      </c>
      <c r="G16" s="1623">
        <f>J16</f>
        <v>0.53271060000000003</v>
      </c>
      <c r="H16" s="1643" t="s">
        <v>747</v>
      </c>
      <c r="I16" s="1625">
        <v>0.55000000000000004</v>
      </c>
      <c r="J16" s="1644">
        <f t="shared" si="2"/>
        <v>0.53271060000000003</v>
      </c>
      <c r="K16" s="1599">
        <f>0.23*2.39</f>
        <v>0.54969999999999997</v>
      </c>
    </row>
    <row r="17" spans="1:11">
      <c r="A17" s="1618"/>
      <c r="B17" s="1619" t="s">
        <v>748</v>
      </c>
      <c r="C17" s="1619"/>
      <c r="D17" s="1620">
        <f>0.38/25</f>
        <v>1.52E-2</v>
      </c>
      <c r="E17" s="1621" t="s">
        <v>81</v>
      </c>
      <c r="F17" s="1622">
        <v>22</v>
      </c>
      <c r="G17" s="1623">
        <v>0.44</v>
      </c>
      <c r="H17" s="1642" t="s">
        <v>745</v>
      </c>
      <c r="I17" s="1625">
        <v>0.44</v>
      </c>
      <c r="J17" s="1626">
        <f t="shared" si="2"/>
        <v>0.33439999999999998</v>
      </c>
      <c r="K17" s="1599">
        <f>0.02*22</f>
        <v>0.44</v>
      </c>
    </row>
    <row r="18" spans="1:11">
      <c r="A18" s="1618"/>
      <c r="B18" s="1619" t="s">
        <v>749</v>
      </c>
      <c r="C18" s="1619"/>
      <c r="D18" s="1620">
        <f>3.95/25</f>
        <v>0.158</v>
      </c>
      <c r="E18" s="1621" t="s">
        <v>738</v>
      </c>
      <c r="F18" s="1628">
        <v>3.0000000000000001E-3</v>
      </c>
      <c r="G18" s="1645">
        <f t="shared" ref="G18:G25" si="3">D18*F18</f>
        <v>4.7399999999999997E-4</v>
      </c>
      <c r="H18" s="1646"/>
      <c r="I18" s="1625">
        <v>5.0000000000000001E-4</v>
      </c>
      <c r="J18" s="1647">
        <f t="shared" si="2"/>
        <v>4.7399999999999997E-4</v>
      </c>
      <c r="K18" s="1599"/>
    </row>
    <row r="19" spans="1:11">
      <c r="A19" s="1630"/>
      <c r="B19" s="1619" t="s">
        <v>750</v>
      </c>
      <c r="C19" s="1619"/>
      <c r="D19" s="1631"/>
      <c r="E19" s="1631"/>
      <c r="F19" s="1632"/>
      <c r="G19" s="1633">
        <f t="shared" ref="G19:J19" si="4">SUM(G15:G18)</f>
        <v>50.973184600000003</v>
      </c>
      <c r="H19" s="1634"/>
      <c r="I19" s="1633">
        <f t="shared" si="4"/>
        <v>50.990499999999997</v>
      </c>
      <c r="J19" s="1633">
        <f t="shared" si="4"/>
        <v>50.867584600000001</v>
      </c>
      <c r="K19" s="1599"/>
    </row>
    <row r="20" spans="1:11">
      <c r="A20" s="1618"/>
      <c r="B20" s="1635" t="s">
        <v>741</v>
      </c>
      <c r="C20" s="1635"/>
      <c r="D20" s="1636">
        <v>1</v>
      </c>
      <c r="E20" s="1637" t="s">
        <v>83</v>
      </c>
      <c r="F20" s="1638" t="s">
        <v>742</v>
      </c>
      <c r="G20" s="1641">
        <f>G19</f>
        <v>50.973184600000003</v>
      </c>
      <c r="H20" s="1640" t="s">
        <v>445</v>
      </c>
      <c r="I20" s="1633">
        <f>SUM(I16:I19)</f>
        <v>51.981000000000002</v>
      </c>
      <c r="J20" s="1641">
        <v>131.16</v>
      </c>
      <c r="K20" s="1599"/>
    </row>
    <row r="21" spans="1:11">
      <c r="A21" s="1610">
        <v>3</v>
      </c>
      <c r="B21" s="1611" t="s">
        <v>751</v>
      </c>
      <c r="C21" s="1612"/>
      <c r="D21" s="1613"/>
      <c r="E21" s="1614"/>
      <c r="F21" s="1615"/>
      <c r="G21" s="1616" t="s">
        <v>460</v>
      </c>
      <c r="H21" s="1617" t="s">
        <v>460</v>
      </c>
      <c r="I21" s="1599"/>
      <c r="J21" s="1599"/>
      <c r="K21" s="1599"/>
    </row>
    <row r="22" spans="1:11">
      <c r="A22" s="1618"/>
      <c r="B22" s="1619" t="s">
        <v>752</v>
      </c>
      <c r="C22" s="1619"/>
      <c r="D22" s="1620">
        <v>12.05</v>
      </c>
      <c r="E22" s="1621" t="s">
        <v>81</v>
      </c>
      <c r="F22" s="1622">
        <f>'[72]2.ข้อมูลวัสดุ'!D16/1000</f>
        <v>2.3364500000000001</v>
      </c>
      <c r="G22" s="1623">
        <f t="shared" si="3"/>
        <v>28.154222499999999</v>
      </c>
      <c r="H22" s="1624" t="str">
        <f>H9</f>
        <v>พาณิช์ จว.อุดรธานี</v>
      </c>
      <c r="I22" s="1625">
        <v>28.8</v>
      </c>
      <c r="J22" s="1626">
        <f t="shared" ref="J22:J25" si="5">D22*F22</f>
        <v>28.154222499999999</v>
      </c>
      <c r="K22" s="1599">
        <f>12.05*2.39</f>
        <v>28.799499999999998</v>
      </c>
    </row>
    <row r="23" spans="1:11">
      <c r="A23" s="1618"/>
      <c r="B23" s="1619" t="s">
        <v>753</v>
      </c>
      <c r="C23" s="1619"/>
      <c r="D23" s="1620">
        <v>0.5</v>
      </c>
      <c r="E23" s="1621" t="s">
        <v>738</v>
      </c>
      <c r="F23" s="1622">
        <f>'[74]3.สืบท่อโฟมลูกรังทรายเหล็กป้าย '!F18</f>
        <v>44</v>
      </c>
      <c r="G23" s="1623">
        <f t="shared" si="3"/>
        <v>22</v>
      </c>
      <c r="H23" s="1624" t="s">
        <v>754</v>
      </c>
      <c r="I23" s="1625">
        <v>22</v>
      </c>
      <c r="J23" s="1648">
        <f t="shared" si="5"/>
        <v>22</v>
      </c>
      <c r="K23" s="1599"/>
    </row>
    <row r="24" spans="1:11">
      <c r="A24" s="1618"/>
      <c r="B24" s="1619" t="s">
        <v>755</v>
      </c>
      <c r="C24" s="1619"/>
      <c r="D24" s="1620">
        <v>0.04</v>
      </c>
      <c r="E24" s="1621" t="s">
        <v>184</v>
      </c>
      <c r="F24" s="1622">
        <f>'[73]3.สืบท่อโฟมลูกรังทรายเหล็กป้าย'!G12</f>
        <v>254.65</v>
      </c>
      <c r="G24" s="1623">
        <f t="shared" si="3"/>
        <v>10.186</v>
      </c>
      <c r="H24" s="1624" t="s">
        <v>736</v>
      </c>
      <c r="I24" s="1625">
        <v>14.58</v>
      </c>
      <c r="J24" s="1626">
        <f t="shared" si="5"/>
        <v>10.186</v>
      </c>
      <c r="K24" s="1599"/>
    </row>
    <row r="25" spans="1:11">
      <c r="A25" s="1618"/>
      <c r="B25" s="1619" t="s">
        <v>756</v>
      </c>
      <c r="C25" s="1619"/>
      <c r="D25" s="1620">
        <v>3</v>
      </c>
      <c r="E25" s="1621" t="s">
        <v>738</v>
      </c>
      <c r="F25" s="1628">
        <v>5.0000000000000001E-3</v>
      </c>
      <c r="G25" s="1623">
        <f t="shared" si="3"/>
        <v>1.4999999999999999E-2</v>
      </c>
      <c r="H25" s="1629" t="s">
        <v>739</v>
      </c>
      <c r="I25" s="1625">
        <v>0.01</v>
      </c>
      <c r="J25" s="1645">
        <f t="shared" si="5"/>
        <v>1.4999999999999999E-2</v>
      </c>
      <c r="K25" s="1599"/>
    </row>
    <row r="26" spans="1:11">
      <c r="A26" s="1630"/>
      <c r="B26" s="1619" t="s">
        <v>757</v>
      </c>
      <c r="C26" s="1619"/>
      <c r="D26" s="1631"/>
      <c r="E26" s="1631"/>
      <c r="F26" s="1632"/>
      <c r="G26" s="1633">
        <f t="shared" ref="G26:J26" si="6">SUM(G22:G25)</f>
        <v>60.355222500000004</v>
      </c>
      <c r="H26" s="1634" t="s">
        <v>445</v>
      </c>
      <c r="I26" s="1633">
        <f t="shared" si="6"/>
        <v>65.39</v>
      </c>
      <c r="J26" s="1633">
        <f t="shared" si="6"/>
        <v>60.355222500000004</v>
      </c>
      <c r="K26" s="1599"/>
    </row>
    <row r="27" spans="1:11">
      <c r="A27" s="1618"/>
      <c r="B27" s="1635" t="s">
        <v>741</v>
      </c>
      <c r="C27" s="1635"/>
      <c r="D27" s="1636">
        <v>1</v>
      </c>
      <c r="E27" s="1637" t="s">
        <v>83</v>
      </c>
      <c r="F27" s="1638" t="s">
        <v>742</v>
      </c>
      <c r="G27" s="1639">
        <f>G26</f>
        <v>60.355222500000004</v>
      </c>
      <c r="H27" s="1640" t="s">
        <v>445</v>
      </c>
      <c r="I27" s="1633">
        <f>SUM(I23:I26)</f>
        <v>101.98</v>
      </c>
      <c r="J27" s="1641">
        <f>SUM(J22:J25)</f>
        <v>60.355222500000004</v>
      </c>
      <c r="K27" s="1599"/>
    </row>
    <row r="28" spans="1:11">
      <c r="A28" s="1649"/>
      <c r="B28" s="2059"/>
      <c r="C28" s="2060"/>
      <c r="D28" s="1650"/>
      <c r="E28" s="1650"/>
      <c r="F28" s="1650"/>
      <c r="G28" s="1651"/>
      <c r="H28" s="1652"/>
      <c r="I28" s="1599"/>
      <c r="J28" s="1599"/>
      <c r="K28" s="1599"/>
    </row>
  </sheetData>
  <mergeCells count="9">
    <mergeCell ref="A1:H1"/>
    <mergeCell ref="A2:H2"/>
    <mergeCell ref="A3:H3"/>
    <mergeCell ref="B28:C28"/>
    <mergeCell ref="A4:A5"/>
    <mergeCell ref="D4:D5"/>
    <mergeCell ref="E4:E5"/>
    <mergeCell ref="H4:H5"/>
    <mergeCell ref="B4:C5"/>
  </mergeCells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2060"/>
  </sheetPr>
  <dimension ref="A1:N41"/>
  <sheetViews>
    <sheetView topLeftCell="A34" zoomScale="130" zoomScaleNormal="130" workbookViewId="0">
      <selection activeCell="J4" sqref="J4"/>
    </sheetView>
  </sheetViews>
  <sheetFormatPr defaultColWidth="8" defaultRowHeight="21"/>
  <cols>
    <col min="1" max="1" width="5.21875" style="311" customWidth="1"/>
    <col min="2" max="2" width="8" style="311"/>
    <col min="3" max="3" width="28.33203125" style="311" customWidth="1"/>
    <col min="4" max="4" width="6.21875" style="311" customWidth="1"/>
    <col min="5" max="5" width="7" style="311" customWidth="1"/>
    <col min="6" max="6" width="9.44140625" style="311" bestFit="1" customWidth="1"/>
    <col min="7" max="7" width="7.21875" style="311" customWidth="1"/>
    <col min="8" max="8" width="15.77734375" style="311" customWidth="1"/>
    <col min="9" max="9" width="12.77734375" style="311" bestFit="1" customWidth="1"/>
    <col min="10" max="10" width="4.88671875" style="311" customWidth="1"/>
    <col min="11" max="11" width="5.33203125" style="311" customWidth="1"/>
    <col min="12" max="12" width="6.6640625" style="311" customWidth="1"/>
    <col min="13" max="13" width="5.88671875" style="311" customWidth="1"/>
    <col min="14" max="16384" width="8" style="311"/>
  </cols>
  <sheetData>
    <row r="1" spans="1:9" ht="22.2">
      <c r="A1" s="2071"/>
      <c r="B1" s="2071"/>
      <c r="C1" s="2071"/>
      <c r="D1" s="2071"/>
      <c r="E1" s="2071"/>
      <c r="F1" s="2071"/>
      <c r="G1" s="2071"/>
      <c r="H1" s="2071"/>
    </row>
    <row r="2" spans="1:9">
      <c r="A2" s="2055" t="s">
        <v>725</v>
      </c>
      <c r="B2" s="2055"/>
      <c r="C2" s="2055"/>
      <c r="D2" s="2055"/>
      <c r="E2" s="2055"/>
      <c r="F2" s="2055"/>
      <c r="G2" s="2055"/>
      <c r="H2" s="2055"/>
      <c r="I2" s="1599"/>
    </row>
    <row r="3" spans="1:9">
      <c r="A3" s="2056" t="s">
        <v>726</v>
      </c>
      <c r="B3" s="2057"/>
      <c r="C3" s="2057"/>
      <c r="D3" s="2057"/>
      <c r="E3" s="2057"/>
      <c r="F3" s="2057"/>
      <c r="G3" s="2057"/>
      <c r="H3" s="2058"/>
      <c r="I3" s="1599"/>
    </row>
    <row r="4" spans="1:9">
      <c r="A4" s="2061" t="s">
        <v>95</v>
      </c>
      <c r="B4" s="2067" t="s">
        <v>96</v>
      </c>
      <c r="C4" s="2068"/>
      <c r="D4" s="2063" t="s">
        <v>179</v>
      </c>
      <c r="E4" s="2063" t="s">
        <v>11</v>
      </c>
      <c r="F4" s="1653" t="s">
        <v>180</v>
      </c>
      <c r="G4" s="1601" t="s">
        <v>727</v>
      </c>
      <c r="H4" s="2065" t="s">
        <v>100</v>
      </c>
      <c r="I4" s="1599"/>
    </row>
    <row r="5" spans="1:9">
      <c r="A5" s="2062"/>
      <c r="B5" s="2069"/>
      <c r="C5" s="2070"/>
      <c r="D5" s="2064"/>
      <c r="E5" s="2064"/>
      <c r="F5" s="1654" t="s">
        <v>31</v>
      </c>
      <c r="G5" s="1602" t="s">
        <v>31</v>
      </c>
      <c r="H5" s="2066"/>
      <c r="I5" s="1599"/>
    </row>
    <row r="6" spans="1:9">
      <c r="A6" s="1603"/>
      <c r="B6" s="1604" t="s">
        <v>728</v>
      </c>
      <c r="C6" s="1605"/>
      <c r="D6" s="1606"/>
      <c r="E6" s="1606"/>
      <c r="F6" s="1607"/>
      <c r="G6" s="1608" t="s">
        <v>460</v>
      </c>
      <c r="H6" s="1609"/>
      <c r="I6" s="1599"/>
    </row>
    <row r="7" spans="1:9">
      <c r="A7" s="1610">
        <v>12.3</v>
      </c>
      <c r="B7" s="1611" t="s">
        <v>758</v>
      </c>
      <c r="C7" s="1612"/>
      <c r="D7" s="1613"/>
      <c r="E7" s="1614"/>
      <c r="F7" s="1615"/>
      <c r="G7" s="1655" t="s">
        <v>460</v>
      </c>
      <c r="H7" s="1617" t="s">
        <v>460</v>
      </c>
      <c r="I7" s="1599"/>
    </row>
    <row r="8" spans="1:9">
      <c r="A8" s="1618"/>
      <c r="B8" s="1619" t="s">
        <v>759</v>
      </c>
      <c r="C8" s="1619"/>
      <c r="D8" s="1620">
        <v>0.1</v>
      </c>
      <c r="E8" s="1621" t="s">
        <v>81</v>
      </c>
      <c r="F8" s="1656">
        <v>379</v>
      </c>
      <c r="G8" s="1623">
        <f t="shared" ref="G8:G11" si="0">D8*F8</f>
        <v>37.9</v>
      </c>
      <c r="H8" s="1624" t="s">
        <v>754</v>
      </c>
      <c r="I8" s="1625">
        <f>0.1*275/5.21</f>
        <v>5.2783109404990398</v>
      </c>
    </row>
    <row r="9" spans="1:9">
      <c r="A9" s="1618"/>
      <c r="B9" s="1619" t="s">
        <v>760</v>
      </c>
      <c r="C9" s="1619"/>
      <c r="D9" s="1620">
        <v>0.04</v>
      </c>
      <c r="E9" s="1621" t="s">
        <v>761</v>
      </c>
      <c r="F9" s="1656">
        <v>420.56</v>
      </c>
      <c r="G9" s="1623">
        <f t="shared" si="0"/>
        <v>16.822399999999998</v>
      </c>
      <c r="H9" s="1624" t="s">
        <v>734</v>
      </c>
      <c r="I9" s="1625"/>
    </row>
    <row r="10" spans="1:9">
      <c r="A10" s="1618"/>
      <c r="B10" s="1619" t="s">
        <v>762</v>
      </c>
      <c r="C10" s="1619"/>
      <c r="D10" s="1620">
        <v>7.0000000000000007E-2</v>
      </c>
      <c r="E10" s="1621" t="s">
        <v>761</v>
      </c>
      <c r="F10" s="1656">
        <v>327.12</v>
      </c>
      <c r="G10" s="1623">
        <f t="shared" si="0"/>
        <v>22.898399999999999</v>
      </c>
      <c r="H10" s="1624" t="s">
        <v>734</v>
      </c>
      <c r="I10" s="1657" t="s">
        <v>763</v>
      </c>
    </row>
    <row r="11" spans="1:9">
      <c r="A11" s="1618"/>
      <c r="B11" s="1619" t="s">
        <v>764</v>
      </c>
      <c r="C11" s="1619"/>
      <c r="D11" s="1620">
        <v>1</v>
      </c>
      <c r="E11" s="1621" t="s">
        <v>738</v>
      </c>
      <c r="F11" s="1658">
        <v>5.0000000000000001E-3</v>
      </c>
      <c r="G11" s="1659">
        <f t="shared" si="0"/>
        <v>5.0000000000000001E-3</v>
      </c>
      <c r="H11" s="1646" t="s">
        <v>739</v>
      </c>
      <c r="I11" s="1625"/>
    </row>
    <row r="12" spans="1:9">
      <c r="A12" s="1630"/>
      <c r="B12" s="1619" t="s">
        <v>765</v>
      </c>
      <c r="C12" s="1619"/>
      <c r="D12" s="1631"/>
      <c r="E12" s="1631"/>
      <c r="F12" s="1632"/>
      <c r="G12" s="1633">
        <f>SUM(G8:G11)</f>
        <v>77.625799999999998</v>
      </c>
      <c r="H12" s="1634" t="s">
        <v>445</v>
      </c>
      <c r="I12" s="1599"/>
    </row>
    <row r="13" spans="1:9">
      <c r="A13" s="1618"/>
      <c r="B13" s="1635" t="s">
        <v>741</v>
      </c>
      <c r="C13" s="1635"/>
      <c r="D13" s="1636">
        <v>1</v>
      </c>
      <c r="E13" s="1637" t="s">
        <v>83</v>
      </c>
      <c r="F13" s="1638" t="s">
        <v>742</v>
      </c>
      <c r="G13" s="1639">
        <f>G12</f>
        <v>77.625799999999998</v>
      </c>
      <c r="H13" s="1640" t="s">
        <v>445</v>
      </c>
      <c r="I13" s="1599"/>
    </row>
    <row r="14" spans="1:9">
      <c r="A14" s="1610">
        <v>1</v>
      </c>
      <c r="B14" s="1660" t="s">
        <v>766</v>
      </c>
      <c r="C14" s="1612"/>
      <c r="D14" s="1613"/>
      <c r="E14" s="1614"/>
      <c r="F14" s="1615"/>
      <c r="G14" s="1655" t="s">
        <v>460</v>
      </c>
      <c r="H14" s="1617" t="s">
        <v>460</v>
      </c>
      <c r="I14" s="1599"/>
    </row>
    <row r="15" spans="1:9">
      <c r="A15" s="1618"/>
      <c r="B15" s="1619" t="s">
        <v>767</v>
      </c>
      <c r="C15" s="1619"/>
      <c r="D15" s="1620">
        <v>0.04</v>
      </c>
      <c r="E15" s="1621" t="s">
        <v>761</v>
      </c>
      <c r="F15" s="1656">
        <v>420.56</v>
      </c>
      <c r="G15" s="1623">
        <f t="shared" ref="G15:G17" si="1">D15*F15</f>
        <v>16.822399999999998</v>
      </c>
      <c r="H15" s="1624" t="s">
        <v>734</v>
      </c>
      <c r="I15" s="1625"/>
    </row>
    <row r="16" spans="1:9">
      <c r="A16" s="1618"/>
      <c r="B16" s="1619" t="s">
        <v>768</v>
      </c>
      <c r="C16" s="1619"/>
      <c r="D16" s="1620">
        <v>7.0000000000000007E-2</v>
      </c>
      <c r="E16" s="1621" t="s">
        <v>761</v>
      </c>
      <c r="F16" s="1656">
        <v>420.56</v>
      </c>
      <c r="G16" s="1623">
        <f t="shared" si="1"/>
        <v>29.4392</v>
      </c>
      <c r="H16" s="1624" t="s">
        <v>734</v>
      </c>
      <c r="I16" s="1625"/>
    </row>
    <row r="17" spans="1:14">
      <c r="A17" s="1618"/>
      <c r="B17" s="1619" t="s">
        <v>769</v>
      </c>
      <c r="C17" s="1619"/>
      <c r="D17" s="1620">
        <v>1</v>
      </c>
      <c r="E17" s="1621" t="s">
        <v>738</v>
      </c>
      <c r="F17" s="1658">
        <v>5.0000000000000001E-3</v>
      </c>
      <c r="G17" s="1659">
        <f t="shared" si="1"/>
        <v>5.0000000000000001E-3</v>
      </c>
      <c r="H17" s="1646" t="s">
        <v>739</v>
      </c>
      <c r="I17" s="1625"/>
    </row>
    <row r="18" spans="1:14">
      <c r="A18" s="1630"/>
      <c r="B18" s="1619" t="s">
        <v>770</v>
      </c>
      <c r="C18" s="1619"/>
      <c r="D18" s="1631"/>
      <c r="E18" s="1631"/>
      <c r="F18" s="1632"/>
      <c r="G18" s="1633">
        <f>SUM(G15:G17)</f>
        <v>46.266599999999997</v>
      </c>
      <c r="H18" s="1634" t="s">
        <v>445</v>
      </c>
      <c r="I18" s="1599"/>
    </row>
    <row r="19" spans="1:14">
      <c r="A19" s="1630"/>
      <c r="B19" s="1661" t="s">
        <v>741</v>
      </c>
      <c r="C19" s="1661"/>
      <c r="D19" s="1636">
        <v>1</v>
      </c>
      <c r="E19" s="1637" t="s">
        <v>83</v>
      </c>
      <c r="F19" s="1638" t="s">
        <v>742</v>
      </c>
      <c r="G19" s="1639">
        <f>G18</f>
        <v>46.266599999999997</v>
      </c>
      <c r="H19" s="1640" t="s">
        <v>445</v>
      </c>
      <c r="I19" s="1599"/>
    </row>
    <row r="20" spans="1:14">
      <c r="A20" s="1610">
        <v>2</v>
      </c>
      <c r="B20" s="1611" t="s">
        <v>771</v>
      </c>
      <c r="C20" s="1612"/>
      <c r="D20" s="1613"/>
      <c r="E20" s="1614"/>
      <c r="F20" s="1615"/>
      <c r="G20" s="1616" t="s">
        <v>460</v>
      </c>
      <c r="H20" s="1617" t="s">
        <v>460</v>
      </c>
      <c r="I20" s="1599"/>
    </row>
    <row r="21" spans="1:14">
      <c r="A21" s="1618"/>
      <c r="B21" s="1619" t="s">
        <v>772</v>
      </c>
      <c r="C21" s="1619"/>
      <c r="D21" s="1627">
        <v>3.7999999999999999E-2</v>
      </c>
      <c r="E21" s="1621" t="s">
        <v>761</v>
      </c>
      <c r="F21" s="1656">
        <v>275</v>
      </c>
      <c r="G21" s="1623">
        <f t="shared" ref="G21:G23" si="2">D21*F21</f>
        <v>10.45</v>
      </c>
      <c r="H21" s="1624" t="s">
        <v>754</v>
      </c>
      <c r="I21" s="1662">
        <v>275</v>
      </c>
      <c r="J21" s="541" t="s">
        <v>773</v>
      </c>
      <c r="K21" s="542">
        <v>45</v>
      </c>
      <c r="L21" s="541" t="s">
        <v>774</v>
      </c>
      <c r="M21" s="311">
        <v>3.7850000000000001</v>
      </c>
      <c r="N21" s="311" t="s">
        <v>775</v>
      </c>
    </row>
    <row r="22" spans="1:14">
      <c r="A22" s="1618"/>
      <c r="B22" s="1619" t="s">
        <v>776</v>
      </c>
      <c r="C22" s="1619"/>
      <c r="D22" s="1627">
        <v>7.5999999999999998E-2</v>
      </c>
      <c r="E22" s="1621" t="s">
        <v>761</v>
      </c>
      <c r="F22" s="1656">
        <v>398</v>
      </c>
      <c r="G22" s="1623">
        <f t="shared" si="2"/>
        <v>30.248000000000001</v>
      </c>
      <c r="H22" s="1624" t="s">
        <v>754</v>
      </c>
      <c r="I22" s="1625"/>
      <c r="K22" s="543">
        <f>I21/K21</f>
        <v>6.1111111111111098</v>
      </c>
    </row>
    <row r="23" spans="1:14">
      <c r="A23" s="1618"/>
      <c r="B23" s="1619" t="s">
        <v>777</v>
      </c>
      <c r="C23" s="1619"/>
      <c r="D23" s="1627">
        <v>2.3E-2</v>
      </c>
      <c r="E23" s="1621" t="s">
        <v>761</v>
      </c>
      <c r="F23" s="1656">
        <v>514.02</v>
      </c>
      <c r="G23" s="1623">
        <f t="shared" si="2"/>
        <v>11.82246</v>
      </c>
      <c r="H23" s="1624" t="s">
        <v>734</v>
      </c>
      <c r="I23" s="1625"/>
    </row>
    <row r="24" spans="1:14">
      <c r="A24" s="1630"/>
      <c r="B24" s="1619" t="s">
        <v>778</v>
      </c>
      <c r="C24" s="1619"/>
      <c r="D24" s="1631"/>
      <c r="E24" s="1631"/>
      <c r="F24" s="1632"/>
      <c r="G24" s="1633">
        <f>SUM(G21:G23)</f>
        <v>52.52046</v>
      </c>
      <c r="H24" s="1634" t="s">
        <v>445</v>
      </c>
      <c r="I24" s="1599"/>
    </row>
    <row r="25" spans="1:14">
      <c r="A25" s="1618"/>
      <c r="B25" s="1635" t="s">
        <v>741</v>
      </c>
      <c r="C25" s="1635"/>
      <c r="D25" s="1636">
        <v>1</v>
      </c>
      <c r="E25" s="1637" t="s">
        <v>83</v>
      </c>
      <c r="F25" s="1638" t="s">
        <v>742</v>
      </c>
      <c r="G25" s="1639">
        <f>G24</f>
        <v>52.52046</v>
      </c>
      <c r="H25" s="1640" t="s">
        <v>445</v>
      </c>
      <c r="I25" s="1599"/>
    </row>
    <row r="26" spans="1:14">
      <c r="A26" s="1610">
        <v>12.11</v>
      </c>
      <c r="B26" s="1611" t="s">
        <v>779</v>
      </c>
      <c r="C26" s="1612"/>
      <c r="D26" s="1613"/>
      <c r="E26" s="1614"/>
      <c r="F26" s="1615"/>
      <c r="G26" s="1616" t="s">
        <v>460</v>
      </c>
      <c r="H26" s="1617" t="s">
        <v>460</v>
      </c>
      <c r="I26" s="1599"/>
    </row>
    <row r="27" spans="1:14">
      <c r="A27" s="1618"/>
      <c r="B27" s="1619" t="s">
        <v>780</v>
      </c>
      <c r="C27" s="1619"/>
      <c r="D27" s="1627">
        <v>7.5999999999999998E-2</v>
      </c>
      <c r="E27" s="1621" t="s">
        <v>761</v>
      </c>
      <c r="F27" s="1656">
        <v>275</v>
      </c>
      <c r="G27" s="1623">
        <f t="shared" ref="G27:G29" si="3">D27*F27</f>
        <v>20.9</v>
      </c>
      <c r="H27" s="1624" t="s">
        <v>754</v>
      </c>
      <c r="I27" s="1662">
        <v>275</v>
      </c>
      <c r="J27" s="541" t="s">
        <v>773</v>
      </c>
      <c r="K27" s="542">
        <v>45</v>
      </c>
      <c r="L27" s="541" t="s">
        <v>774</v>
      </c>
      <c r="M27" s="311">
        <v>3.7850000000000001</v>
      </c>
      <c r="N27" s="311" t="s">
        <v>775</v>
      </c>
    </row>
    <row r="28" spans="1:14">
      <c r="A28" s="1618"/>
      <c r="B28" s="1619" t="s">
        <v>781</v>
      </c>
      <c r="C28" s="1619"/>
      <c r="D28" s="1627">
        <v>7.5999999999999998E-2</v>
      </c>
      <c r="E28" s="1621" t="s">
        <v>761</v>
      </c>
      <c r="F28" s="1656">
        <f>'[73]3.สืบสี'!J9</f>
        <v>398</v>
      </c>
      <c r="G28" s="1623">
        <f t="shared" si="3"/>
        <v>30.248000000000001</v>
      </c>
      <c r="H28" s="1624" t="s">
        <v>754</v>
      </c>
      <c r="I28" s="1625"/>
      <c r="K28" s="543">
        <f>I27/K27</f>
        <v>6.1111111111111098</v>
      </c>
    </row>
    <row r="29" spans="1:14">
      <c r="A29" s="1618"/>
      <c r="B29" s="1619" t="s">
        <v>777</v>
      </c>
      <c r="C29" s="1619"/>
      <c r="D29" s="1627">
        <v>3.1E-2</v>
      </c>
      <c r="E29" s="1621" t="s">
        <v>761</v>
      </c>
      <c r="F29" s="1656">
        <v>514.02</v>
      </c>
      <c r="G29" s="1623">
        <f t="shared" si="3"/>
        <v>15.934620000000001</v>
      </c>
      <c r="H29" s="1624" t="s">
        <v>734</v>
      </c>
      <c r="I29" s="1625"/>
    </row>
    <row r="30" spans="1:14">
      <c r="A30" s="1630"/>
      <c r="B30" s="1619" t="s">
        <v>778</v>
      </c>
      <c r="C30" s="1619"/>
      <c r="D30" s="1631"/>
      <c r="E30" s="1631"/>
      <c r="F30" s="1632"/>
      <c r="G30" s="1633">
        <f>SUM(G27:G29)</f>
        <v>67.082620000000006</v>
      </c>
      <c r="H30" s="1634" t="s">
        <v>445</v>
      </c>
      <c r="I30" s="1599"/>
    </row>
    <row r="31" spans="1:14">
      <c r="A31" s="1618"/>
      <c r="B31" s="1635" t="s">
        <v>741</v>
      </c>
      <c r="C31" s="1635"/>
      <c r="D31" s="1636">
        <v>1</v>
      </c>
      <c r="E31" s="1637" t="s">
        <v>83</v>
      </c>
      <c r="F31" s="1638" t="s">
        <v>742</v>
      </c>
      <c r="G31" s="1639">
        <f>G30</f>
        <v>67.082620000000006</v>
      </c>
      <c r="H31" s="1640" t="s">
        <v>445</v>
      </c>
      <c r="I31" s="1599"/>
    </row>
    <row r="32" spans="1:14">
      <c r="A32" s="1610">
        <v>4</v>
      </c>
      <c r="B32" s="1660" t="s">
        <v>782</v>
      </c>
      <c r="C32" s="1612"/>
      <c r="D32" s="1613"/>
      <c r="E32" s="1614"/>
      <c r="F32" s="1615"/>
      <c r="G32" s="1616" t="s">
        <v>460</v>
      </c>
      <c r="H32" s="1617" t="s">
        <v>460</v>
      </c>
      <c r="I32" s="1599"/>
    </row>
    <row r="33" spans="1:9">
      <c r="A33" s="1618"/>
      <c r="B33" s="1619" t="s">
        <v>783</v>
      </c>
      <c r="C33" s="1619"/>
      <c r="D33" s="1620">
        <v>0.5</v>
      </c>
      <c r="E33" s="1621" t="s">
        <v>75</v>
      </c>
      <c r="F33" s="1658">
        <f>I33</f>
        <v>6.5416666666666696</v>
      </c>
      <c r="G33" s="1623">
        <f t="shared" ref="G33:G36" si="4">D33*F33</f>
        <v>3.2708333333333299</v>
      </c>
      <c r="H33" s="1624" t="s">
        <v>734</v>
      </c>
      <c r="I33" s="1625">
        <f>78.5/12</f>
        <v>6.5416666666666696</v>
      </c>
    </row>
    <row r="34" spans="1:9">
      <c r="A34" s="1618"/>
      <c r="B34" s="1619" t="s">
        <v>784</v>
      </c>
      <c r="C34" s="1619"/>
      <c r="D34" s="1620">
        <v>0.1</v>
      </c>
      <c r="E34" s="1621" t="s">
        <v>81</v>
      </c>
      <c r="F34" s="1656">
        <f>F8</f>
        <v>379</v>
      </c>
      <c r="G34" s="1623">
        <f t="shared" si="4"/>
        <v>37.9</v>
      </c>
      <c r="H34" s="1624" t="s">
        <v>754</v>
      </c>
      <c r="I34" s="1625"/>
    </row>
    <row r="35" spans="1:9">
      <c r="A35" s="1630"/>
      <c r="B35" s="1619" t="s">
        <v>785</v>
      </c>
      <c r="C35" s="1619"/>
      <c r="D35" s="1627">
        <v>7.5999999999999998E-2</v>
      </c>
      <c r="E35" s="1621" t="s">
        <v>761</v>
      </c>
      <c r="F35" s="1656">
        <v>635</v>
      </c>
      <c r="G35" s="1623">
        <f t="shared" si="4"/>
        <v>48.26</v>
      </c>
      <c r="H35" s="1624" t="s">
        <v>754</v>
      </c>
      <c r="I35" s="1599"/>
    </row>
    <row r="36" spans="1:9">
      <c r="A36" s="1618"/>
      <c r="B36" s="1619" t="s">
        <v>786</v>
      </c>
      <c r="C36" s="1619"/>
      <c r="D36" s="1627">
        <v>7.5999999999999998E-2</v>
      </c>
      <c r="E36" s="1621" t="s">
        <v>761</v>
      </c>
      <c r="F36" s="1656">
        <v>647</v>
      </c>
      <c r="G36" s="1623">
        <f t="shared" si="4"/>
        <v>49.171999999999997</v>
      </c>
      <c r="H36" s="1624" t="s">
        <v>787</v>
      </c>
      <c r="I36" s="1625"/>
    </row>
    <row r="37" spans="1:9">
      <c r="A37" s="1618"/>
      <c r="B37" s="1619" t="s">
        <v>788</v>
      </c>
      <c r="C37" s="1619"/>
      <c r="D37" s="1620">
        <v>0.03</v>
      </c>
      <c r="E37" s="1621" t="s">
        <v>761</v>
      </c>
      <c r="F37" s="1656">
        <v>129.91</v>
      </c>
      <c r="G37" s="1648">
        <v>3.89</v>
      </c>
      <c r="H37" s="1624" t="s">
        <v>754</v>
      </c>
      <c r="I37" s="1625"/>
    </row>
    <row r="38" spans="1:9">
      <c r="A38" s="1630"/>
      <c r="B38" s="1619" t="s">
        <v>789</v>
      </c>
      <c r="C38" s="1619"/>
      <c r="D38" s="1631"/>
      <c r="E38" s="1631"/>
      <c r="F38" s="1632"/>
      <c r="G38" s="1633">
        <f>SUM(G33:G37)</f>
        <v>142.49283333333301</v>
      </c>
      <c r="H38" s="1634" t="s">
        <v>445</v>
      </c>
      <c r="I38" s="1599"/>
    </row>
    <row r="39" spans="1:9">
      <c r="A39" s="1630"/>
      <c r="B39" s="1661" t="s">
        <v>741</v>
      </c>
      <c r="C39" s="1661"/>
      <c r="D39" s="1636">
        <v>1</v>
      </c>
      <c r="E39" s="1637" t="s">
        <v>83</v>
      </c>
      <c r="F39" s="1638" t="s">
        <v>742</v>
      </c>
      <c r="G39" s="1641">
        <f>G38</f>
        <v>142.49283333333301</v>
      </c>
      <c r="H39" s="1640" t="s">
        <v>445</v>
      </c>
      <c r="I39" s="1599"/>
    </row>
    <row r="40" spans="1:9">
      <c r="A40" s="1649"/>
      <c r="B40" s="2059"/>
      <c r="C40" s="2060"/>
      <c r="D40" s="1650"/>
      <c r="E40" s="1650"/>
      <c r="F40" s="1650"/>
      <c r="G40" s="1651"/>
      <c r="H40" s="1652"/>
      <c r="I40" s="1599"/>
    </row>
    <row r="41" spans="1:9">
      <c r="A41" s="1599"/>
      <c r="B41" s="1599"/>
      <c r="C41" s="1599"/>
      <c r="D41" s="1599"/>
      <c r="E41" s="1599"/>
      <c r="F41" s="1599"/>
      <c r="G41" s="1599"/>
      <c r="H41" s="1599"/>
      <c r="I41" s="1599"/>
    </row>
  </sheetData>
  <mergeCells count="9">
    <mergeCell ref="A1:H1"/>
    <mergeCell ref="A2:H2"/>
    <mergeCell ref="A3:H3"/>
    <mergeCell ref="B40:C40"/>
    <mergeCell ref="A4:A5"/>
    <mergeCell ref="D4:D5"/>
    <mergeCell ref="E4:E5"/>
    <mergeCell ref="H4:H5"/>
    <mergeCell ref="B4:C5"/>
  </mergeCells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P155"/>
  <sheetViews>
    <sheetView view="pageLayout" zoomScaleNormal="100" workbookViewId="0">
      <selection activeCell="L14" sqref="L14"/>
    </sheetView>
  </sheetViews>
  <sheetFormatPr defaultColWidth="9" defaultRowHeight="14.4"/>
  <cols>
    <col min="1" max="1" width="7.44140625" customWidth="1"/>
    <col min="3" max="3" width="17.33203125" customWidth="1"/>
    <col min="4" max="4" width="7.109375" customWidth="1"/>
    <col min="5" max="5" width="9.6640625" customWidth="1"/>
    <col min="6" max="6" width="7.77734375" customWidth="1"/>
    <col min="7" max="7" width="8.21875" customWidth="1"/>
    <col min="8" max="8" width="9.33203125" customWidth="1"/>
    <col min="9" max="9" width="8.109375" customWidth="1"/>
    <col min="10" max="10" width="8.21875" customWidth="1"/>
    <col min="11" max="11" width="6" customWidth="1"/>
    <col min="12" max="12" width="9.109375" customWidth="1"/>
    <col min="13" max="13" width="7.33203125" customWidth="1"/>
    <col min="14" max="14" width="6" customWidth="1"/>
    <col min="15" max="15" width="3.88671875" customWidth="1"/>
  </cols>
  <sheetData>
    <row r="1" spans="1:13" s="1" customFormat="1" ht="21">
      <c r="A1" s="1663"/>
      <c r="B1" s="1663"/>
      <c r="C1" s="1663" t="s">
        <v>790</v>
      </c>
      <c r="D1" s="1663"/>
      <c r="E1" s="1663"/>
      <c r="F1" s="1663"/>
      <c r="G1" s="1663"/>
      <c r="H1" s="1663"/>
      <c r="I1" s="1663"/>
      <c r="J1" s="1663"/>
      <c r="K1" s="1663"/>
      <c r="L1" s="1663"/>
      <c r="M1" s="1663"/>
    </row>
    <row r="2" spans="1:13" s="1" customFormat="1" ht="22.95" customHeight="1">
      <c r="A2" s="1663"/>
      <c r="B2" s="1663" t="s">
        <v>791</v>
      </c>
      <c r="C2" s="1664">
        <v>10</v>
      </c>
      <c r="D2" s="1663" t="s">
        <v>78</v>
      </c>
      <c r="E2" s="1665"/>
      <c r="F2" s="1664"/>
      <c r="G2" s="1665"/>
      <c r="H2" s="1665"/>
      <c r="I2" s="1663"/>
      <c r="J2" s="1663"/>
      <c r="K2" s="1663"/>
      <c r="L2" s="1663"/>
      <c r="M2" s="1663"/>
    </row>
    <row r="3" spans="1:13" s="1" customFormat="1" ht="22.95" customHeight="1">
      <c r="A3" s="2072" t="s">
        <v>174</v>
      </c>
      <c r="B3" s="2076" t="s">
        <v>96</v>
      </c>
      <c r="C3" s="2077"/>
      <c r="D3" s="2074" t="s">
        <v>11</v>
      </c>
      <c r="E3" s="2074" t="s">
        <v>792</v>
      </c>
      <c r="F3" s="1666" t="s">
        <v>793</v>
      </c>
      <c r="G3" s="1666" t="s">
        <v>794</v>
      </c>
      <c r="H3" s="1667" t="s">
        <v>795</v>
      </c>
      <c r="I3" s="1735" t="s">
        <v>100</v>
      </c>
      <c r="J3" s="1663"/>
      <c r="K3" s="1663"/>
      <c r="L3" s="1663"/>
      <c r="M3" s="1663"/>
    </row>
    <row r="4" spans="1:13" s="1" customFormat="1" ht="22.95" customHeight="1">
      <c r="A4" s="2073"/>
      <c r="B4" s="2078"/>
      <c r="C4" s="2079"/>
      <c r="D4" s="2075"/>
      <c r="E4" s="2075"/>
      <c r="F4" s="1669" t="s">
        <v>796</v>
      </c>
      <c r="G4" s="1669" t="s">
        <v>796</v>
      </c>
      <c r="H4" s="1669" t="s">
        <v>796</v>
      </c>
      <c r="I4" s="1670"/>
      <c r="J4" s="1663"/>
      <c r="K4" s="1665"/>
      <c r="L4" s="1665"/>
      <c r="M4" s="1665"/>
    </row>
    <row r="5" spans="1:13" s="1" customFormat="1" ht="22.95" customHeight="1">
      <c r="A5" s="1671">
        <v>1</v>
      </c>
      <c r="B5" s="1672" t="s">
        <v>797</v>
      </c>
      <c r="C5" s="1673"/>
      <c r="D5" s="1674" t="s">
        <v>184</v>
      </c>
      <c r="E5" s="1675">
        <f>F5*F5*G5*C2</f>
        <v>2.16</v>
      </c>
      <c r="F5" s="1675">
        <v>0.6</v>
      </c>
      <c r="G5" s="1675">
        <v>0.6</v>
      </c>
      <c r="H5" s="1675">
        <v>0.7</v>
      </c>
      <c r="I5" s="1676"/>
      <c r="J5" s="1677"/>
      <c r="K5" s="1665"/>
      <c r="L5" s="1665"/>
      <c r="M5" s="1665"/>
    </row>
    <row r="6" spans="1:13" s="1" customFormat="1" ht="22.95" customHeight="1">
      <c r="A6" s="1678">
        <v>2</v>
      </c>
      <c r="B6" s="1679" t="s">
        <v>798</v>
      </c>
      <c r="C6" s="1680"/>
      <c r="D6" s="1681" t="s">
        <v>184</v>
      </c>
      <c r="E6" s="1682">
        <f>F6*G6*H6*C2</f>
        <v>0.18</v>
      </c>
      <c r="F6" s="1682">
        <f>F5</f>
        <v>0.6</v>
      </c>
      <c r="G6" s="1682">
        <f>G5</f>
        <v>0.6</v>
      </c>
      <c r="H6" s="1682">
        <v>0.05</v>
      </c>
      <c r="I6" s="1683"/>
      <c r="J6" s="1663"/>
      <c r="K6" s="1663"/>
      <c r="L6" s="1663"/>
      <c r="M6" s="1663"/>
    </row>
    <row r="7" spans="1:13" s="1" customFormat="1" ht="22.95" customHeight="1">
      <c r="A7" s="1678">
        <v>3</v>
      </c>
      <c r="B7" s="1679" t="s">
        <v>799</v>
      </c>
      <c r="C7" s="1684"/>
      <c r="D7" s="1681" t="s">
        <v>184</v>
      </c>
      <c r="E7" s="1682">
        <f>F7*G7*H7*C2</f>
        <v>0.18</v>
      </c>
      <c r="F7" s="1682">
        <f>F6</f>
        <v>0.6</v>
      </c>
      <c r="G7" s="1682">
        <f>G6</f>
        <v>0.6</v>
      </c>
      <c r="H7" s="1682">
        <v>0.05</v>
      </c>
      <c r="I7" s="1683"/>
      <c r="J7" s="1663"/>
      <c r="K7" s="1665"/>
      <c r="L7" s="1663"/>
      <c r="M7" s="1663"/>
    </row>
    <row r="8" spans="1:13" s="1" customFormat="1" ht="22.95" customHeight="1">
      <c r="A8" s="1678">
        <v>4</v>
      </c>
      <c r="B8" s="1685" t="s">
        <v>800</v>
      </c>
      <c r="C8" s="1686"/>
      <c r="D8" s="1682"/>
      <c r="E8" s="1682"/>
      <c r="F8" s="1682"/>
      <c r="G8" s="1682"/>
      <c r="H8" s="1682"/>
      <c r="I8" s="1683"/>
      <c r="J8" s="1677">
        <f>(0.35+0.6)/2*G8</f>
        <v>0</v>
      </c>
      <c r="K8" s="1665"/>
      <c r="L8" s="1663"/>
      <c r="M8" s="1663"/>
    </row>
    <row r="9" spans="1:13" s="1" customFormat="1" ht="22.95" customHeight="1">
      <c r="A9" s="1687">
        <v>4.0999999999999996</v>
      </c>
      <c r="B9" s="1688" t="s">
        <v>801</v>
      </c>
      <c r="C9" s="1686"/>
      <c r="D9" s="1681" t="s">
        <v>184</v>
      </c>
      <c r="E9" s="1682">
        <f>J9*H9*C2</f>
        <v>3.3250000000000002</v>
      </c>
      <c r="F9" s="1682">
        <v>0.35</v>
      </c>
      <c r="G9" s="1682">
        <v>0.6</v>
      </c>
      <c r="H9" s="1682">
        <v>0.7</v>
      </c>
      <c r="I9" s="1683"/>
      <c r="J9" s="1677">
        <f>(F9+G9)/2</f>
        <v>0.47499999999999998</v>
      </c>
      <c r="K9" s="1665"/>
      <c r="L9" s="1665"/>
      <c r="M9" s="1665"/>
    </row>
    <row r="10" spans="1:13" s="1" customFormat="1" ht="22.95" customHeight="1">
      <c r="A10" s="1687">
        <v>4.2</v>
      </c>
      <c r="B10" s="1688" t="s">
        <v>802</v>
      </c>
      <c r="C10" s="1686"/>
      <c r="D10" s="1681" t="s">
        <v>184</v>
      </c>
      <c r="E10" s="1682">
        <v>0</v>
      </c>
      <c r="F10" s="1682">
        <v>0.15</v>
      </c>
      <c r="G10" s="1682">
        <v>0.15</v>
      </c>
      <c r="H10" s="1682">
        <v>1.9</v>
      </c>
      <c r="I10" s="1689"/>
      <c r="J10" s="1665"/>
      <c r="K10" s="1663"/>
      <c r="L10" s="1663"/>
      <c r="M10" s="1663"/>
    </row>
    <row r="11" spans="1:13" s="1" customFormat="1" ht="22.95" customHeight="1">
      <c r="A11" s="1687">
        <v>4.3</v>
      </c>
      <c r="B11" s="1688" t="s">
        <v>803</v>
      </c>
      <c r="C11" s="1686"/>
      <c r="D11" s="1681" t="s">
        <v>184</v>
      </c>
      <c r="E11" s="1690">
        <v>0</v>
      </c>
      <c r="F11" s="1682">
        <v>0.15</v>
      </c>
      <c r="G11" s="1682" t="e">
        <f>#REF!</f>
        <v>#REF!</v>
      </c>
      <c r="H11" s="1682">
        <v>0.3</v>
      </c>
      <c r="I11" s="1689"/>
      <c r="J11" s="1663"/>
      <c r="K11" s="1663" t="s">
        <v>794</v>
      </c>
      <c r="L11" s="1663"/>
      <c r="M11" s="1663"/>
    </row>
    <row r="12" spans="1:13" s="1" customFormat="1" ht="22.95" customHeight="1">
      <c r="A12" s="1687">
        <v>4.4000000000000004</v>
      </c>
      <c r="B12" s="1688" t="s">
        <v>804</v>
      </c>
      <c r="C12" s="1686"/>
      <c r="D12" s="1681" t="s">
        <v>184</v>
      </c>
      <c r="E12" s="1677">
        <v>0</v>
      </c>
      <c r="F12" s="1682">
        <v>0.15</v>
      </c>
      <c r="G12" s="1682" t="e">
        <f>K12</f>
        <v>#REF!</v>
      </c>
      <c r="H12" s="1682">
        <v>0.1</v>
      </c>
      <c r="I12" s="1689"/>
      <c r="J12" s="1663"/>
      <c r="K12" s="1690" t="e">
        <f>#REF!-(0.15*C2)</f>
        <v>#REF!</v>
      </c>
      <c r="L12" s="1663"/>
      <c r="M12" s="1663"/>
    </row>
    <row r="13" spans="1:13" s="1" customFormat="1" ht="22.95" customHeight="1">
      <c r="A13" s="1678"/>
      <c r="B13" s="1679"/>
      <c r="C13" s="1691"/>
      <c r="D13" s="1692" t="s">
        <v>805</v>
      </c>
      <c r="E13" s="1693">
        <f>SUM(E9:E12)</f>
        <v>3.3250000000000002</v>
      </c>
      <c r="F13" s="1684" t="s">
        <v>184</v>
      </c>
      <c r="G13" s="1694"/>
      <c r="H13" s="1682"/>
      <c r="I13" s="1695"/>
      <c r="J13" s="1665"/>
      <c r="K13" s="1663"/>
      <c r="L13" s="1663"/>
      <c r="M13" s="1663"/>
    </row>
    <row r="14" spans="1:13" s="1" customFormat="1" ht="22.5" customHeight="1">
      <c r="A14" s="1678">
        <v>5</v>
      </c>
      <c r="B14" s="1685" t="s">
        <v>599</v>
      </c>
      <c r="C14" s="1686"/>
      <c r="D14" s="1694"/>
      <c r="E14" s="1696"/>
      <c r="F14" s="1694"/>
      <c r="G14" s="1694"/>
      <c r="H14" s="1694"/>
      <c r="I14" s="1683"/>
      <c r="J14" s="1663"/>
      <c r="K14" s="1663"/>
      <c r="L14" s="1663"/>
      <c r="M14" s="1663"/>
    </row>
    <row r="15" spans="1:13" ht="22.5" customHeight="1">
      <c r="A15" s="1697">
        <v>5.0999999999999996</v>
      </c>
      <c r="B15" s="1688" t="s">
        <v>801</v>
      </c>
      <c r="C15" s="1686"/>
      <c r="D15" s="1681" t="s">
        <v>83</v>
      </c>
      <c r="E15" s="1682">
        <f>J15*H15*4*C2</f>
        <v>13.3</v>
      </c>
      <c r="F15" s="1682">
        <v>0.35</v>
      </c>
      <c r="G15" s="1682">
        <v>0.6</v>
      </c>
      <c r="H15" s="1682">
        <v>0.7</v>
      </c>
      <c r="I15" s="1698"/>
      <c r="J15" s="1677">
        <f>(F15+G15)/2</f>
        <v>0.47499999999999998</v>
      </c>
      <c r="K15" s="1699"/>
      <c r="L15" s="1699"/>
      <c r="M15" s="1699"/>
    </row>
    <row r="16" spans="1:13" ht="22.5" customHeight="1">
      <c r="A16" s="1697">
        <v>5.2</v>
      </c>
      <c r="B16" s="1688" t="s">
        <v>802</v>
      </c>
      <c r="C16" s="1686"/>
      <c r="D16" s="1681" t="s">
        <v>83</v>
      </c>
      <c r="E16" s="1682">
        <v>0</v>
      </c>
      <c r="F16" s="1682">
        <v>0.15</v>
      </c>
      <c r="G16" s="1682">
        <v>0</v>
      </c>
      <c r="H16" s="1682">
        <v>1.7</v>
      </c>
      <c r="I16" s="1695"/>
      <c r="J16" s="1699"/>
      <c r="K16" s="1699"/>
      <c r="L16" s="1699"/>
      <c r="M16" s="1699"/>
    </row>
    <row r="17" spans="1:16" ht="22.5" customHeight="1">
      <c r="A17" s="1697">
        <v>5.3</v>
      </c>
      <c r="B17" s="1688" t="s">
        <v>803</v>
      </c>
      <c r="C17" s="1686"/>
      <c r="D17" s="1681" t="s">
        <v>83</v>
      </c>
      <c r="E17" s="1690">
        <v>0</v>
      </c>
      <c r="F17" s="1682">
        <v>0</v>
      </c>
      <c r="G17" s="1682">
        <v>0.3</v>
      </c>
      <c r="H17" s="1682">
        <v>126</v>
      </c>
      <c r="I17" s="1695"/>
      <c r="J17" s="1699"/>
      <c r="K17" s="1699"/>
      <c r="L17" s="1699"/>
      <c r="M17" s="1699"/>
    </row>
    <row r="18" spans="1:16" ht="22.5" customHeight="1">
      <c r="A18" s="1697">
        <v>5.4</v>
      </c>
      <c r="B18" s="1688" t="s">
        <v>804</v>
      </c>
      <c r="C18" s="1686"/>
      <c r="D18" s="1681" t="s">
        <v>83</v>
      </c>
      <c r="E18" s="1690">
        <v>0</v>
      </c>
      <c r="F18" s="1682">
        <v>0.15</v>
      </c>
      <c r="G18" s="1682" t="e">
        <f>G12</f>
        <v>#REF!</v>
      </c>
      <c r="H18" s="1682">
        <f>H12</f>
        <v>0.1</v>
      </c>
      <c r="I18" s="1695"/>
      <c r="J18" s="1699"/>
      <c r="K18" s="1699"/>
      <c r="L18" s="1699"/>
      <c r="M18" s="1699"/>
    </row>
    <row r="19" spans="1:16" ht="22.5" customHeight="1">
      <c r="A19" s="1700"/>
      <c r="B19" s="1688"/>
      <c r="C19" s="1686"/>
      <c r="D19" s="1692" t="s">
        <v>806</v>
      </c>
      <c r="E19" s="1693">
        <f>SUM(E15:E18)</f>
        <v>13.3</v>
      </c>
      <c r="F19" s="1684" t="s">
        <v>83</v>
      </c>
      <c r="G19" s="1682"/>
      <c r="H19" s="1682"/>
      <c r="I19" s="1695"/>
      <c r="J19" s="1699"/>
      <c r="K19" s="1699"/>
      <c r="L19" s="1699"/>
      <c r="M19" s="1699"/>
    </row>
    <row r="20" spans="1:16" ht="22.5" customHeight="1">
      <c r="A20" s="1701"/>
      <c r="B20" s="1702"/>
      <c r="C20" s="1703"/>
      <c r="D20" s="1704"/>
      <c r="E20" s="1705"/>
      <c r="F20" s="1706"/>
      <c r="G20" s="1707"/>
      <c r="H20" s="1707"/>
      <c r="I20" s="1708"/>
      <c r="J20" s="1699"/>
      <c r="K20" s="1699"/>
      <c r="L20" s="1699"/>
      <c r="M20" s="1699"/>
    </row>
    <row r="21" spans="1:16" ht="22.5" customHeight="1">
      <c r="A21" s="1699"/>
      <c r="B21" s="1663"/>
      <c r="C21" s="1663"/>
      <c r="D21" s="1709"/>
      <c r="E21" s="1710"/>
      <c r="F21" s="1710"/>
      <c r="G21" s="1665"/>
      <c r="H21" s="1665"/>
      <c r="I21" s="1665"/>
      <c r="J21" s="1699"/>
      <c r="K21" s="1699"/>
      <c r="L21" s="1699"/>
      <c r="M21" s="1699"/>
    </row>
    <row r="22" spans="1:16" ht="22.5" customHeight="1">
      <c r="A22" s="1699"/>
      <c r="B22" s="1663"/>
      <c r="C22" s="1663"/>
      <c r="D22" s="1709"/>
      <c r="E22" s="1710"/>
      <c r="F22" s="1710"/>
      <c r="G22" s="1665"/>
      <c r="H22" s="1665"/>
      <c r="I22" s="1665"/>
      <c r="J22" s="1699"/>
      <c r="K22" s="1699"/>
      <c r="L22" s="1699"/>
      <c r="M22" s="1699"/>
    </row>
    <row r="23" spans="1:16" ht="22.5" customHeight="1">
      <c r="A23" s="1699"/>
      <c r="B23" s="1663"/>
      <c r="C23" s="1663"/>
      <c r="D23" s="1709"/>
      <c r="E23" s="1710"/>
      <c r="F23" s="1710"/>
      <c r="G23" s="1665"/>
      <c r="H23" s="1665"/>
      <c r="I23" s="1665"/>
      <c r="J23" s="1699"/>
      <c r="K23" s="1699"/>
      <c r="L23" s="1699"/>
      <c r="M23" s="1699"/>
    </row>
    <row r="24" spans="1:16" s="1" customFormat="1" ht="21">
      <c r="A24" s="1663"/>
      <c r="B24" s="1663"/>
      <c r="C24" s="1663" t="s">
        <v>790</v>
      </c>
      <c r="D24" s="1663"/>
      <c r="E24" s="1663"/>
      <c r="F24" s="1663"/>
      <c r="G24" s="1663"/>
      <c r="H24" s="1663"/>
      <c r="I24" s="1663"/>
      <c r="J24" s="1663"/>
      <c r="K24" s="1663"/>
      <c r="L24" s="1663"/>
      <c r="M24" s="1663"/>
      <c r="N24" s="1663"/>
    </row>
    <row r="25" spans="1:16" s="1" customFormat="1" ht="22.95" customHeight="1">
      <c r="A25" s="1663"/>
      <c r="B25" s="1663" t="s">
        <v>791</v>
      </c>
      <c r="C25" s="1664">
        <f>C2</f>
        <v>10</v>
      </c>
      <c r="D25" s="1663" t="s">
        <v>78</v>
      </c>
      <c r="E25" s="1665"/>
      <c r="F25" s="1664"/>
      <c r="G25" s="1665"/>
      <c r="H25" s="1665"/>
      <c r="I25" s="1663"/>
      <c r="J25" s="1663"/>
      <c r="K25" s="1663"/>
      <c r="L25" s="1663"/>
      <c r="M25" s="1663"/>
      <c r="N25" s="1663"/>
    </row>
    <row r="26" spans="1:16" s="1" customFormat="1" ht="22.95" customHeight="1">
      <c r="A26" s="2072" t="s">
        <v>174</v>
      </c>
      <c r="B26" s="2076" t="s">
        <v>96</v>
      </c>
      <c r="C26" s="2077"/>
      <c r="D26" s="2074" t="s">
        <v>11</v>
      </c>
      <c r="E26" s="2074" t="s">
        <v>792</v>
      </c>
      <c r="F26" s="1666" t="s">
        <v>793</v>
      </c>
      <c r="G26" s="1666" t="s">
        <v>794</v>
      </c>
      <c r="H26" s="1667" t="s">
        <v>795</v>
      </c>
      <c r="I26" s="1668" t="s">
        <v>100</v>
      </c>
      <c r="J26" s="1663"/>
      <c r="K26" s="1663"/>
      <c r="L26" s="1663"/>
      <c r="M26" s="1663"/>
      <c r="N26" s="1663"/>
    </row>
    <row r="27" spans="1:16" s="1" customFormat="1" ht="22.95" customHeight="1" thickBot="1">
      <c r="A27" s="2073"/>
      <c r="B27" s="2078"/>
      <c r="C27" s="2079"/>
      <c r="D27" s="2075"/>
      <c r="E27" s="2075"/>
      <c r="F27" s="1669" t="s">
        <v>796</v>
      </c>
      <c r="G27" s="1669" t="s">
        <v>796</v>
      </c>
      <c r="H27" s="1669" t="s">
        <v>796</v>
      </c>
      <c r="I27" s="1670"/>
      <c r="J27" s="1663"/>
      <c r="K27" s="1665"/>
      <c r="L27" s="1665"/>
      <c r="M27" s="1665"/>
      <c r="N27" s="1663"/>
    </row>
    <row r="28" spans="1:16" s="1" customFormat="1" ht="22.95" customHeight="1">
      <c r="A28" s="1711">
        <v>6</v>
      </c>
      <c r="B28" s="1712" t="s">
        <v>807</v>
      </c>
      <c r="C28" s="1713"/>
      <c r="D28" s="1714"/>
      <c r="E28" s="1714"/>
      <c r="F28" s="1714"/>
      <c r="G28" s="1714"/>
      <c r="H28" s="1714"/>
      <c r="I28" s="1736"/>
      <c r="J28" s="1714"/>
      <c r="K28" s="1715"/>
      <c r="L28" s="1714"/>
      <c r="M28" s="1715"/>
      <c r="N28" s="1663"/>
    </row>
    <row r="29" spans="1:16" s="1" customFormat="1" ht="22.95" customHeight="1">
      <c r="A29" s="1711">
        <v>6.1</v>
      </c>
      <c r="B29" s="1716" t="s">
        <v>801</v>
      </c>
      <c r="C29" s="1717"/>
      <c r="D29" s="1714"/>
      <c r="E29" s="1714"/>
      <c r="F29" s="1714"/>
      <c r="G29" s="1714"/>
      <c r="H29" s="1714"/>
      <c r="I29" s="1737"/>
      <c r="J29" s="1714"/>
      <c r="K29" s="1715"/>
      <c r="L29" s="1714" t="s">
        <v>808</v>
      </c>
      <c r="M29" s="1715"/>
      <c r="N29" s="1663"/>
    </row>
    <row r="30" spans="1:16" s="1" customFormat="1" ht="22.95" customHeight="1">
      <c r="A30" s="1711"/>
      <c r="B30" s="1718" t="s">
        <v>809</v>
      </c>
      <c r="C30" s="1717"/>
      <c r="D30" s="1719" t="s">
        <v>237</v>
      </c>
      <c r="E30" s="1720">
        <f>C25*G30*J30</f>
        <v>70</v>
      </c>
      <c r="F30" s="1721">
        <v>0</v>
      </c>
      <c r="G30" s="1721">
        <f>0.6+0.05+0.05</f>
        <v>0.7</v>
      </c>
      <c r="H30" s="1720">
        <f>F30/0.15</f>
        <v>0</v>
      </c>
      <c r="I30" s="1737"/>
      <c r="J30" s="1722">
        <f>5+5</f>
        <v>10</v>
      </c>
      <c r="K30" s="1714" t="s">
        <v>346</v>
      </c>
      <c r="L30" s="1723">
        <f>(E30)*0.888</f>
        <v>62.16</v>
      </c>
      <c r="M30" s="1714" t="s">
        <v>81</v>
      </c>
      <c r="N30" s="1663"/>
    </row>
    <row r="31" spans="1:16" s="1" customFormat="1" ht="22.95" customHeight="1">
      <c r="A31" s="1711"/>
      <c r="B31" s="1718" t="s">
        <v>810</v>
      </c>
      <c r="C31" s="1717"/>
      <c r="D31" s="1719" t="s">
        <v>237</v>
      </c>
      <c r="E31" s="1720">
        <f>G31*J31*C25</f>
        <v>44</v>
      </c>
      <c r="F31" s="1721">
        <v>0</v>
      </c>
      <c r="G31" s="1721">
        <f>(0.25+0.25+0.25+0.25+0.05+0.05)</f>
        <v>1.1000000000000001</v>
      </c>
      <c r="H31" s="1720">
        <f>F31/0.15</f>
        <v>0</v>
      </c>
      <c r="I31" s="1713"/>
      <c r="J31" s="1722">
        <v>4</v>
      </c>
      <c r="K31" s="1714" t="s">
        <v>346</v>
      </c>
      <c r="L31" s="1723">
        <f>(E31)*0.499</f>
        <v>21.956</v>
      </c>
      <c r="M31" s="1714" t="s">
        <v>81</v>
      </c>
      <c r="N31" s="1663"/>
      <c r="O31" s="101"/>
      <c r="P31" s="1" t="s">
        <v>81</v>
      </c>
    </row>
    <row r="32" spans="1:16" ht="22.95" customHeight="1">
      <c r="A32" s="1724"/>
      <c r="B32" s="1725"/>
      <c r="C32" s="1726"/>
      <c r="D32" s="1727"/>
      <c r="E32" s="1728"/>
      <c r="F32" s="1729"/>
      <c r="G32" s="1729"/>
      <c r="H32" s="1728"/>
      <c r="I32" s="1730"/>
      <c r="J32" s="1699"/>
      <c r="K32" s="1699"/>
      <c r="L32" s="1699"/>
      <c r="M32" s="1699"/>
      <c r="N32" s="1699"/>
    </row>
    <row r="33" spans="1:15" ht="22.95" customHeight="1">
      <c r="A33" s="1731"/>
      <c r="B33" s="1732"/>
      <c r="C33" s="1732"/>
      <c r="D33" s="1732"/>
      <c r="E33" s="1732"/>
      <c r="F33" s="1732"/>
      <c r="G33" s="1732"/>
      <c r="H33" s="1732"/>
      <c r="I33" s="1733"/>
      <c r="J33" s="1734"/>
      <c r="K33" s="1734"/>
      <c r="L33" s="1734"/>
      <c r="M33" s="1734"/>
      <c r="N33" s="1699"/>
    </row>
    <row r="34" spans="1:15" ht="22.95" customHeight="1">
      <c r="B34" s="850"/>
      <c r="C34" s="850"/>
      <c r="D34" s="850"/>
      <c r="E34" s="850"/>
      <c r="F34" s="850"/>
      <c r="G34" s="850"/>
      <c r="H34" s="850"/>
      <c r="I34" s="850"/>
    </row>
    <row r="35" spans="1:15" ht="22.95" customHeight="1"/>
    <row r="36" spans="1:15" ht="22.95" customHeight="1">
      <c r="B36" t="s">
        <v>811</v>
      </c>
    </row>
    <row r="37" spans="1:15" ht="22.95" customHeight="1">
      <c r="L37" s="855" t="e">
        <f>F38*G38*H38*#REF!</f>
        <v>#REF!</v>
      </c>
      <c r="N37" t="s">
        <v>812</v>
      </c>
    </row>
    <row r="38" spans="1:15" ht="22.95" customHeight="1">
      <c r="C38" t="s">
        <v>813</v>
      </c>
      <c r="F38">
        <v>0.6</v>
      </c>
      <c r="G38">
        <v>0.6</v>
      </c>
      <c r="H38">
        <v>0.25</v>
      </c>
    </row>
    <row r="39" spans="1:15" ht="22.95" customHeight="1">
      <c r="L39" s="855" t="e">
        <f>F40*G40*H40*#REF!</f>
        <v>#REF!</v>
      </c>
      <c r="N39" t="s">
        <v>814</v>
      </c>
    </row>
    <row r="40" spans="1:15" ht="22.95" customHeight="1">
      <c r="C40" t="s">
        <v>815</v>
      </c>
      <c r="F40">
        <v>0.15</v>
      </c>
      <c r="G40">
        <v>0.15</v>
      </c>
      <c r="H40">
        <v>3.4249999999999998</v>
      </c>
    </row>
    <row r="41" spans="1:15" ht="22.95" customHeight="1">
      <c r="L41" s="855" t="e">
        <f>F42*G42*H42*#REF!</f>
        <v>#REF!</v>
      </c>
      <c r="N41" t="s">
        <v>816</v>
      </c>
    </row>
    <row r="42" spans="1:15" ht="22.95" customHeight="1">
      <c r="C42" t="s">
        <v>803</v>
      </c>
      <c r="F42">
        <v>0.15</v>
      </c>
      <c r="G42">
        <v>0.2</v>
      </c>
      <c r="H42">
        <v>3</v>
      </c>
    </row>
    <row r="43" spans="1:15" ht="22.95" customHeight="1">
      <c r="K43" t="s">
        <v>109</v>
      </c>
      <c r="L43" s="856" t="e">
        <f>SUM(L37:L42)</f>
        <v>#REF!</v>
      </c>
    </row>
    <row r="44" spans="1:15" ht="22.95" customHeight="1">
      <c r="J44" s="850"/>
      <c r="K44" s="850"/>
      <c r="L44" s="850"/>
      <c r="M44" s="850"/>
    </row>
    <row r="45" spans="1:15" ht="22.95" customHeight="1">
      <c r="B45" s="850"/>
      <c r="C45" s="850"/>
      <c r="D45" s="850"/>
      <c r="E45" s="850"/>
      <c r="F45" s="850"/>
      <c r="G45" s="850"/>
      <c r="H45" s="850"/>
      <c r="I45" s="850"/>
    </row>
    <row r="46" spans="1:15" ht="22.95" customHeight="1"/>
    <row r="47" spans="1:15" ht="22.95" customHeight="1">
      <c r="B47" t="s">
        <v>817</v>
      </c>
    </row>
    <row r="48" spans="1:15" ht="22.95" customHeight="1">
      <c r="J48" s="852"/>
      <c r="K48" s="851"/>
      <c r="L48" s="852" t="s">
        <v>818</v>
      </c>
      <c r="M48" s="851"/>
      <c r="N48" s="851"/>
      <c r="O48" s="851" t="s">
        <v>819</v>
      </c>
    </row>
    <row r="49" spans="2:15" ht="22.95" customHeight="1">
      <c r="C49" s="851" t="s">
        <v>801</v>
      </c>
      <c r="D49" s="851"/>
      <c r="E49" s="851"/>
      <c r="F49" s="852" t="s">
        <v>820</v>
      </c>
      <c r="G49" s="852" t="s">
        <v>821</v>
      </c>
      <c r="H49" s="852" t="s">
        <v>822</v>
      </c>
      <c r="I49" s="852"/>
      <c r="J49" s="851"/>
      <c r="K49" s="851"/>
      <c r="L49" s="851"/>
      <c r="M49" s="851"/>
      <c r="N49" s="851"/>
      <c r="O49" s="851"/>
    </row>
    <row r="50" spans="2:15" ht="22.95" customHeight="1">
      <c r="C50" s="851"/>
      <c r="D50" s="851"/>
      <c r="E50" s="851"/>
      <c r="F50" s="851"/>
      <c r="G50" s="851"/>
      <c r="H50" s="851"/>
      <c r="I50" s="851"/>
      <c r="J50" s="851"/>
      <c r="K50" s="851"/>
      <c r="L50" s="851">
        <f>F51*G51*H51</f>
        <v>86.4</v>
      </c>
      <c r="M50" s="851"/>
      <c r="N50" s="851" t="s">
        <v>823</v>
      </c>
      <c r="O50" s="851">
        <v>0.88800000000000001</v>
      </c>
    </row>
    <row r="51" spans="2:15" ht="22.95" customHeight="1">
      <c r="C51" s="851"/>
      <c r="D51" s="851"/>
      <c r="E51" s="851"/>
      <c r="F51" s="851">
        <v>0.9</v>
      </c>
      <c r="G51" s="851">
        <v>8</v>
      </c>
      <c r="H51" s="851">
        <v>12</v>
      </c>
      <c r="I51" s="851"/>
      <c r="J51" s="851"/>
      <c r="K51" s="851"/>
      <c r="L51" s="851"/>
      <c r="M51" s="851"/>
      <c r="N51" s="851"/>
      <c r="O51" s="851"/>
    </row>
    <row r="52" spans="2:15" ht="22.95" customHeight="1">
      <c r="C52" s="851"/>
      <c r="D52" s="851"/>
      <c r="E52" s="851"/>
      <c r="F52" s="851"/>
      <c r="G52" s="851"/>
      <c r="H52" s="851"/>
      <c r="I52" s="851"/>
      <c r="J52" s="851"/>
      <c r="K52" s="851"/>
      <c r="L52" s="857">
        <f>L50*O50/1000</f>
        <v>7.6723200000000005E-2</v>
      </c>
      <c r="M52" s="851" t="s">
        <v>824</v>
      </c>
      <c r="N52" s="851"/>
      <c r="O52" s="851"/>
    </row>
    <row r="53" spans="2:15" ht="22.95" customHeight="1">
      <c r="C53" s="851"/>
      <c r="D53" s="851"/>
      <c r="E53" s="851"/>
      <c r="F53" s="851"/>
      <c r="G53" s="851"/>
      <c r="H53" s="851"/>
      <c r="I53" s="851"/>
      <c r="J53" s="853"/>
      <c r="K53" s="853"/>
      <c r="L53" s="853"/>
      <c r="M53" s="853"/>
      <c r="N53" s="851"/>
      <c r="O53" s="851"/>
    </row>
    <row r="54" spans="2:15" ht="22.95" customHeight="1">
      <c r="B54" s="850"/>
      <c r="C54" s="853"/>
      <c r="D54" s="853"/>
      <c r="E54" s="853"/>
      <c r="F54" s="853"/>
      <c r="G54" s="853"/>
      <c r="H54" s="853"/>
      <c r="I54" s="853"/>
      <c r="J54" s="851"/>
      <c r="K54" s="851"/>
      <c r="L54" s="851">
        <f>F55*G55*H55</f>
        <v>28.8</v>
      </c>
      <c r="M54" s="851"/>
      <c r="N54" s="851" t="s">
        <v>825</v>
      </c>
      <c r="O54" s="851">
        <v>0.499</v>
      </c>
    </row>
    <row r="55" spans="2:15" ht="22.95" customHeight="1">
      <c r="C55" s="851" t="s">
        <v>826</v>
      </c>
      <c r="D55" s="851"/>
      <c r="E55" s="851"/>
      <c r="F55" s="851">
        <v>2.4</v>
      </c>
      <c r="G55" s="851">
        <v>1</v>
      </c>
      <c r="H55" s="851">
        <v>12</v>
      </c>
      <c r="I55" s="851"/>
      <c r="J55" s="851"/>
      <c r="K55" s="851"/>
      <c r="L55" s="851"/>
      <c r="M55" s="851"/>
      <c r="N55" s="851"/>
      <c r="O55" s="851"/>
    </row>
    <row r="56" spans="2:15" ht="22.95" customHeight="1">
      <c r="C56" s="851"/>
      <c r="D56" s="851"/>
      <c r="E56" s="851"/>
      <c r="F56" s="851"/>
      <c r="G56" s="851"/>
      <c r="H56" s="851"/>
      <c r="I56" s="851"/>
      <c r="J56" s="851"/>
      <c r="K56" s="851"/>
      <c r="L56" s="858">
        <f>L54*O54/1000</f>
        <v>1.4371200000000001E-2</v>
      </c>
      <c r="M56" s="851" t="s">
        <v>191</v>
      </c>
      <c r="N56" s="851"/>
      <c r="O56" s="851"/>
    </row>
    <row r="57" spans="2:15" ht="22.95" customHeight="1">
      <c r="C57" s="851"/>
      <c r="D57" s="851"/>
      <c r="E57" s="851"/>
      <c r="F57" s="851"/>
      <c r="G57" s="851"/>
      <c r="H57" s="851"/>
      <c r="I57" s="851"/>
      <c r="J57" s="853"/>
      <c r="K57" s="853"/>
      <c r="L57" s="853"/>
      <c r="M57" s="853"/>
      <c r="N57" s="851"/>
      <c r="O57" s="851"/>
    </row>
    <row r="58" spans="2:15" ht="22.95" customHeight="1">
      <c r="B58" s="850"/>
      <c r="C58" s="853"/>
      <c r="D58" s="853"/>
      <c r="E58" s="853"/>
      <c r="F58" s="853"/>
      <c r="G58" s="853"/>
      <c r="H58" s="853"/>
      <c r="I58" s="853"/>
      <c r="J58" s="851"/>
      <c r="K58" s="851"/>
      <c r="L58" s="851">
        <f>F59*G59*H59</f>
        <v>196.8</v>
      </c>
      <c r="M58" s="851"/>
      <c r="N58" s="851" t="s">
        <v>827</v>
      </c>
      <c r="O58" s="851">
        <v>0.88800000000000001</v>
      </c>
    </row>
    <row r="59" spans="2:15" ht="22.95" customHeight="1">
      <c r="C59" s="851" t="s">
        <v>828</v>
      </c>
      <c r="D59" s="851"/>
      <c r="E59" s="851"/>
      <c r="F59" s="851">
        <v>4.0999999999999996</v>
      </c>
      <c r="G59" s="851">
        <v>4</v>
      </c>
      <c r="H59" s="851">
        <v>12</v>
      </c>
      <c r="I59" s="851"/>
      <c r="J59" s="851"/>
      <c r="K59" s="851"/>
      <c r="L59" s="851"/>
      <c r="M59" s="851"/>
      <c r="N59" s="851"/>
      <c r="O59" s="851"/>
    </row>
    <row r="60" spans="2:15" ht="22.95" customHeight="1">
      <c r="C60" s="851"/>
      <c r="D60" s="851"/>
      <c r="E60" s="851"/>
      <c r="F60" s="851"/>
      <c r="G60" s="851"/>
      <c r="H60" s="851"/>
      <c r="I60" s="851"/>
      <c r="J60" s="851"/>
      <c r="K60" s="851"/>
      <c r="L60" s="857">
        <f>L58*O58/1000</f>
        <v>0.17475840000000001</v>
      </c>
      <c r="M60" s="851" t="s">
        <v>191</v>
      </c>
      <c r="N60" s="851"/>
      <c r="O60" s="851"/>
    </row>
    <row r="61" spans="2:15" ht="22.95" customHeight="1">
      <c r="C61" s="851"/>
      <c r="D61" s="851"/>
      <c r="E61" s="851"/>
      <c r="F61" s="851"/>
      <c r="G61" s="851"/>
      <c r="H61" s="851"/>
      <c r="I61" s="851"/>
      <c r="J61" s="851"/>
      <c r="K61" s="851"/>
      <c r="L61" s="851"/>
      <c r="M61" s="851"/>
      <c r="N61" s="851"/>
      <c r="O61" s="851"/>
    </row>
    <row r="62" spans="2:15" ht="22.95" customHeight="1">
      <c r="C62" s="851"/>
      <c r="D62" s="851"/>
      <c r="E62" s="851"/>
      <c r="F62" s="851"/>
      <c r="G62" s="851"/>
      <c r="H62" s="851"/>
      <c r="I62" s="851"/>
      <c r="J62" s="853"/>
      <c r="K62" s="853"/>
      <c r="L62" s="853"/>
      <c r="M62" s="853"/>
      <c r="N62" s="851"/>
      <c r="O62" s="851"/>
    </row>
    <row r="63" spans="2:15" ht="22.95" customHeight="1">
      <c r="B63" s="850"/>
      <c r="C63" s="853"/>
      <c r="D63" s="853"/>
      <c r="E63" s="853"/>
      <c r="F63" s="853"/>
      <c r="G63" s="853"/>
      <c r="H63" s="853"/>
      <c r="I63" s="853"/>
      <c r="J63" s="851"/>
      <c r="K63" s="851"/>
      <c r="L63" s="851">
        <f>F64*G64*H64</f>
        <v>201.6</v>
      </c>
      <c r="M63" s="851"/>
      <c r="N63" s="851" t="s">
        <v>829</v>
      </c>
      <c r="O63" s="851">
        <v>0.222</v>
      </c>
    </row>
    <row r="64" spans="2:15" ht="22.95" customHeight="1">
      <c r="C64" s="851" t="s">
        <v>830</v>
      </c>
      <c r="D64" s="851"/>
      <c r="E64" s="851"/>
      <c r="F64" s="851">
        <v>0.6</v>
      </c>
      <c r="G64" s="854">
        <v>28</v>
      </c>
      <c r="H64" s="851">
        <v>12</v>
      </c>
      <c r="I64" s="851"/>
      <c r="J64" s="851"/>
      <c r="K64" s="851"/>
      <c r="L64" s="851"/>
      <c r="M64" s="851"/>
      <c r="N64" s="851"/>
      <c r="O64" s="851"/>
    </row>
    <row r="65" spans="2:15" ht="22.95" customHeight="1">
      <c r="C65" s="851"/>
      <c r="D65" s="851"/>
      <c r="E65" s="851"/>
      <c r="F65" s="851"/>
      <c r="G65" s="851"/>
      <c r="H65" s="851"/>
      <c r="I65" s="851"/>
      <c r="J65" s="851"/>
      <c r="K65" s="851"/>
      <c r="L65" s="860">
        <f>L63*O63/1000</f>
        <v>4.4755200000000002E-2</v>
      </c>
      <c r="M65" s="851" t="s">
        <v>824</v>
      </c>
      <c r="N65" s="851"/>
      <c r="O65" s="851"/>
    </row>
    <row r="66" spans="2:15" ht="22.95" customHeight="1">
      <c r="C66" s="851"/>
      <c r="D66" s="851"/>
      <c r="E66" s="851"/>
      <c r="F66" s="851"/>
      <c r="G66" s="851"/>
      <c r="H66" s="851"/>
      <c r="I66" s="851"/>
      <c r="J66" s="851"/>
      <c r="K66" s="851"/>
      <c r="L66" s="851"/>
      <c r="M66" s="851"/>
      <c r="N66" s="851"/>
      <c r="O66" s="851"/>
    </row>
    <row r="67" spans="2:15" ht="22.95" customHeight="1">
      <c r="C67" s="851"/>
      <c r="D67" s="851"/>
      <c r="E67" s="851"/>
      <c r="F67" s="851"/>
      <c r="G67" s="851"/>
      <c r="H67" s="851"/>
      <c r="I67" s="851"/>
      <c r="J67" s="853"/>
      <c r="K67" s="853"/>
      <c r="L67" s="853"/>
      <c r="M67" s="853"/>
      <c r="N67" s="851"/>
      <c r="O67" s="851"/>
    </row>
    <row r="68" spans="2:15" ht="22.95" customHeight="1">
      <c r="B68" s="850"/>
      <c r="C68" s="853"/>
      <c r="D68" s="853"/>
      <c r="E68" s="853"/>
      <c r="F68" s="853"/>
      <c r="G68" s="853"/>
      <c r="H68" s="853"/>
      <c r="I68" s="853"/>
      <c r="J68" s="851"/>
      <c r="K68" s="851"/>
      <c r="L68" s="851"/>
      <c r="M68" s="851"/>
      <c r="N68" s="851"/>
      <c r="O68" s="851"/>
    </row>
    <row r="69" spans="2:15" ht="22.95" customHeight="1">
      <c r="C69" s="851" t="s">
        <v>831</v>
      </c>
      <c r="D69" s="851"/>
      <c r="E69" s="851"/>
      <c r="F69" s="851"/>
      <c r="G69" s="851"/>
      <c r="H69" s="851"/>
      <c r="I69" s="851"/>
      <c r="J69" s="851"/>
      <c r="K69" s="851"/>
      <c r="L69" s="851">
        <f>F70*G70*H70</f>
        <v>168</v>
      </c>
      <c r="M69" s="851"/>
      <c r="N69" s="851" t="s">
        <v>825</v>
      </c>
      <c r="O69" s="851">
        <v>0.499</v>
      </c>
    </row>
    <row r="70" spans="2:15" ht="22.95" customHeight="1">
      <c r="C70" s="851"/>
      <c r="D70" s="851"/>
      <c r="E70" s="851"/>
      <c r="F70" s="851">
        <v>3</v>
      </c>
      <c r="G70" s="851">
        <v>4</v>
      </c>
      <c r="H70" s="851">
        <v>14</v>
      </c>
      <c r="I70" s="851"/>
      <c r="J70" s="851"/>
      <c r="K70" s="851"/>
      <c r="L70" s="851"/>
      <c r="M70" s="851"/>
      <c r="N70" s="851"/>
      <c r="O70" s="851"/>
    </row>
    <row r="71" spans="2:15" ht="22.95" customHeight="1">
      <c r="C71" s="851"/>
      <c r="D71" s="851"/>
      <c r="E71" s="851"/>
      <c r="F71" s="851"/>
      <c r="G71" s="851"/>
      <c r="H71" s="851"/>
      <c r="I71" s="851"/>
      <c r="J71" s="851"/>
      <c r="K71" s="851"/>
      <c r="L71" s="858">
        <f>L69*O69/1000</f>
        <v>8.3832000000000004E-2</v>
      </c>
      <c r="M71" s="851" t="s">
        <v>191</v>
      </c>
      <c r="N71" s="851"/>
      <c r="O71" s="851"/>
    </row>
    <row r="72" spans="2:15" ht="22.95" customHeight="1">
      <c r="C72" s="851"/>
      <c r="D72" s="851"/>
      <c r="E72" s="851"/>
      <c r="F72" s="851"/>
      <c r="G72" s="851"/>
      <c r="H72" s="851"/>
      <c r="I72" s="851"/>
      <c r="J72" s="853"/>
      <c r="K72" s="853"/>
      <c r="L72" s="853"/>
      <c r="M72" s="853"/>
      <c r="N72" s="851"/>
      <c r="O72" s="851"/>
    </row>
    <row r="73" spans="2:15" ht="22.95" customHeight="1">
      <c r="B73" s="850"/>
      <c r="C73" s="853"/>
      <c r="D73" s="853"/>
      <c r="E73" s="853"/>
      <c r="F73" s="853"/>
      <c r="G73" s="853"/>
      <c r="H73" s="853"/>
      <c r="I73" s="853"/>
    </row>
    <row r="74" spans="2:15" ht="22.95" customHeight="1">
      <c r="L74">
        <f>F75*G75*H75</f>
        <v>205.8</v>
      </c>
      <c r="N74" t="s">
        <v>832</v>
      </c>
      <c r="O74">
        <v>0.222</v>
      </c>
    </row>
    <row r="75" spans="2:15" ht="22.95" customHeight="1">
      <c r="C75" t="s">
        <v>830</v>
      </c>
      <c r="F75">
        <v>0.7</v>
      </c>
      <c r="G75">
        <v>21</v>
      </c>
      <c r="H75">
        <v>14</v>
      </c>
    </row>
    <row r="76" spans="2:15" ht="22.95" customHeight="1">
      <c r="L76" s="861">
        <f>L74*O74/1000</f>
        <v>4.5687600000000002E-2</v>
      </c>
    </row>
    <row r="77" spans="2:15" ht="22.95" customHeight="1">
      <c r="J77" s="850"/>
      <c r="K77" s="850"/>
      <c r="L77" s="850"/>
      <c r="M77" s="850"/>
    </row>
    <row r="78" spans="2:15" ht="22.95" customHeight="1">
      <c r="B78" s="850"/>
      <c r="C78" s="850"/>
      <c r="D78" s="850"/>
      <c r="E78" s="850"/>
      <c r="F78" s="850"/>
      <c r="G78" s="850"/>
      <c r="H78" s="850"/>
      <c r="I78" s="850"/>
    </row>
    <row r="79" spans="2:15" ht="22.95" customHeight="1">
      <c r="L79" s="862">
        <f>L76+L65</f>
        <v>9.0442800000000004E-2</v>
      </c>
    </row>
    <row r="80" spans="2:15" ht="22.95" customHeight="1">
      <c r="F80" t="s">
        <v>833</v>
      </c>
      <c r="G80" t="s">
        <v>834</v>
      </c>
    </row>
    <row r="81" spans="2:14" ht="22.95" customHeight="1">
      <c r="L81" s="862">
        <f>L71+L56</f>
        <v>9.8203200000000004E-2</v>
      </c>
      <c r="N81" s="863">
        <f>L79+L81+L83</f>
        <v>0.44012760000000001</v>
      </c>
    </row>
    <row r="82" spans="2:14" ht="22.95" customHeight="1">
      <c r="G82" t="s">
        <v>835</v>
      </c>
    </row>
    <row r="83" spans="2:14" ht="22.95" customHeight="1">
      <c r="L83" s="862">
        <f>L60+L52</f>
        <v>0.25148160000000003</v>
      </c>
    </row>
    <row r="84" spans="2:14" ht="22.95" customHeight="1">
      <c r="G84" t="s">
        <v>836</v>
      </c>
      <c r="J84" s="850"/>
      <c r="K84" s="850"/>
      <c r="L84" s="850"/>
      <c r="M84" s="850"/>
    </row>
    <row r="85" spans="2:14" ht="22.95" customHeight="1">
      <c r="B85" s="850"/>
      <c r="C85" s="850"/>
      <c r="D85" s="850"/>
      <c r="E85" s="850"/>
      <c r="F85" s="850"/>
      <c r="G85" s="850"/>
      <c r="H85" s="850"/>
      <c r="I85" s="850"/>
    </row>
    <row r="86" spans="2:14" ht="22.95" customHeight="1">
      <c r="B86" t="s">
        <v>50</v>
      </c>
      <c r="F86" t="s">
        <v>837</v>
      </c>
      <c r="L86" s="862">
        <f>F87*N81</f>
        <v>13.203828</v>
      </c>
      <c r="M86" t="s">
        <v>81</v>
      </c>
    </row>
    <row r="87" spans="2:14" ht="22.95" customHeight="1">
      <c r="C87" t="s">
        <v>838</v>
      </c>
      <c r="F87">
        <v>30</v>
      </c>
    </row>
    <row r="88" spans="2:14" ht="22.95" customHeight="1">
      <c r="J88" s="850"/>
      <c r="K88" s="850"/>
      <c r="L88" s="850"/>
      <c r="M88" s="850"/>
    </row>
    <row r="89" spans="2:14" ht="22.95" customHeight="1">
      <c r="B89" s="850"/>
      <c r="C89" s="850"/>
      <c r="D89" s="850"/>
      <c r="E89" s="850"/>
      <c r="F89" s="850"/>
      <c r="G89" s="850"/>
      <c r="H89" s="850"/>
      <c r="I89" s="850"/>
    </row>
    <row r="90" spans="2:14" ht="22.95" customHeight="1"/>
    <row r="91" spans="2:14" ht="22.95" customHeight="1">
      <c r="B91" t="s">
        <v>324</v>
      </c>
    </row>
    <row r="92" spans="2:14" ht="22.95" customHeight="1">
      <c r="C92" t="s">
        <v>839</v>
      </c>
      <c r="K92" t="s">
        <v>840</v>
      </c>
      <c r="L92" t="s">
        <v>841</v>
      </c>
    </row>
    <row r="93" spans="2:14" ht="22.95" customHeight="1">
      <c r="K93">
        <v>4</v>
      </c>
      <c r="L93" s="863" t="e">
        <f>#REF!*H94*G94*F94*K93</f>
        <v>#REF!</v>
      </c>
    </row>
    <row r="94" spans="2:14" ht="22.95" customHeight="1">
      <c r="C94" t="s">
        <v>801</v>
      </c>
      <c r="F94">
        <v>0.63</v>
      </c>
      <c r="G94">
        <v>0.63</v>
      </c>
      <c r="H94">
        <v>0.26</v>
      </c>
    </row>
    <row r="95" spans="2:14" ht="22.95" customHeight="1">
      <c r="K95">
        <v>4</v>
      </c>
      <c r="L95" s="863" t="e">
        <f>F96*G96*H96*#REF!*K95</f>
        <v>#REF!</v>
      </c>
    </row>
    <row r="96" spans="2:14" ht="22.95" customHeight="1">
      <c r="C96" t="s">
        <v>815</v>
      </c>
      <c r="F96">
        <v>0.18</v>
      </c>
      <c r="G96">
        <v>0.18</v>
      </c>
      <c r="H96">
        <v>4.0999999999999996</v>
      </c>
    </row>
    <row r="97" spans="2:15" ht="22.95" customHeight="1">
      <c r="K97">
        <v>2</v>
      </c>
      <c r="L97" t="e">
        <f>F98*G98*H98*#REF!*K97</f>
        <v>#REF!</v>
      </c>
    </row>
    <row r="98" spans="2:15" ht="22.95" customHeight="1">
      <c r="C98" t="s">
        <v>842</v>
      </c>
      <c r="F98">
        <v>0.2</v>
      </c>
      <c r="G98">
        <v>0.2</v>
      </c>
      <c r="H98">
        <v>3</v>
      </c>
    </row>
    <row r="99" spans="2:15" ht="22.95" customHeight="1">
      <c r="L99" s="862" t="e">
        <f>SUM(L93:L98)</f>
        <v>#REF!</v>
      </c>
      <c r="M99" t="s">
        <v>843</v>
      </c>
    </row>
    <row r="100" spans="2:15" ht="22.95" customHeight="1">
      <c r="J100" s="850"/>
      <c r="K100" s="850"/>
      <c r="L100" s="850"/>
      <c r="M100" s="850"/>
    </row>
    <row r="101" spans="2:15" ht="22.95" customHeight="1">
      <c r="B101" s="850"/>
      <c r="C101" s="850"/>
      <c r="D101" s="850"/>
      <c r="E101" s="850"/>
      <c r="F101" s="850"/>
      <c r="G101" s="850"/>
      <c r="H101" s="850"/>
      <c r="I101" s="850"/>
      <c r="L101" s="863" t="e">
        <f>L99*0.25</f>
        <v>#REF!</v>
      </c>
    </row>
    <row r="102" spans="2:15" ht="22.95" customHeight="1">
      <c r="B102" t="s">
        <v>80</v>
      </c>
      <c r="C102" s="859">
        <v>0.25</v>
      </c>
      <c r="D102" s="859"/>
      <c r="E102" s="859"/>
    </row>
    <row r="103" spans="2:15" ht="22.95" customHeight="1">
      <c r="J103" s="850"/>
      <c r="K103" s="850"/>
      <c r="L103" s="850"/>
      <c r="M103" s="850"/>
    </row>
    <row r="104" spans="2:15" ht="22.95" customHeight="1">
      <c r="B104" s="850"/>
      <c r="C104" s="850"/>
      <c r="D104" s="850"/>
      <c r="E104" s="850"/>
      <c r="F104" s="850"/>
      <c r="G104" s="850"/>
      <c r="H104" s="850"/>
      <c r="I104" s="850"/>
    </row>
    <row r="105" spans="2:15" ht="22.95" customHeight="1">
      <c r="K105" s="851" t="s">
        <v>179</v>
      </c>
      <c r="L105" s="851" t="s">
        <v>237</v>
      </c>
    </row>
    <row r="106" spans="2:15" ht="22.95" customHeight="1">
      <c r="B106" t="s">
        <v>844</v>
      </c>
      <c r="K106" s="851"/>
      <c r="L106" s="851"/>
      <c r="M106" s="851"/>
    </row>
    <row r="107" spans="2:15" ht="22.95" customHeight="1">
      <c r="K107" s="851">
        <v>4</v>
      </c>
      <c r="L107" s="851" t="e">
        <f>#REF!*K107</f>
        <v>#REF!</v>
      </c>
      <c r="M107" s="851"/>
    </row>
    <row r="108" spans="2:15" ht="22.95" customHeight="1">
      <c r="C108" t="s">
        <v>845</v>
      </c>
      <c r="F108" t="s">
        <v>846</v>
      </c>
      <c r="K108" s="851"/>
      <c r="L108" s="851"/>
    </row>
    <row r="109" spans="2:15" ht="22.95" customHeight="1">
      <c r="K109" s="851">
        <v>3</v>
      </c>
      <c r="L109" s="851" t="e">
        <f>#REF!*K109</f>
        <v>#REF!</v>
      </c>
      <c r="M109" t="e">
        <f>L107+L109+L111+L113</f>
        <v>#REF!</v>
      </c>
      <c r="N109" s="855" t="e">
        <f>M109/6</f>
        <v>#REF!</v>
      </c>
      <c r="O109" t="s">
        <v>65</v>
      </c>
    </row>
    <row r="110" spans="2:15" ht="22.95" customHeight="1">
      <c r="K110" s="851"/>
      <c r="L110" s="851"/>
    </row>
    <row r="111" spans="2:15" ht="22.95" customHeight="1">
      <c r="K111" s="851">
        <v>4</v>
      </c>
      <c r="L111" s="851" t="e">
        <f>#REF!*K111</f>
        <v>#REF!</v>
      </c>
    </row>
    <row r="112" spans="2:15" ht="22.95" customHeight="1">
      <c r="C112" t="s">
        <v>847</v>
      </c>
      <c r="K112" s="851"/>
      <c r="L112" s="851"/>
    </row>
    <row r="113" spans="2:15" ht="22.95" customHeight="1">
      <c r="K113" s="851">
        <v>1</v>
      </c>
      <c r="L113" s="851" t="e">
        <f>#REF!*K113</f>
        <v>#REF!</v>
      </c>
    </row>
    <row r="114" spans="2:15" ht="22.95" customHeight="1">
      <c r="C114" t="s">
        <v>848</v>
      </c>
      <c r="K114" s="851"/>
      <c r="L114" s="851"/>
    </row>
    <row r="115" spans="2:15" ht="22.95" customHeight="1">
      <c r="J115" s="850"/>
      <c r="K115" s="853"/>
      <c r="L115" s="853"/>
    </row>
    <row r="116" spans="2:15" ht="22.95" customHeight="1">
      <c r="B116" s="850"/>
      <c r="C116" s="850"/>
      <c r="D116" s="850"/>
      <c r="E116" s="850"/>
      <c r="F116" s="850"/>
      <c r="G116" s="850"/>
      <c r="H116" s="850"/>
      <c r="I116" s="850"/>
      <c r="K116" s="851"/>
      <c r="L116" s="851"/>
    </row>
    <row r="117" spans="2:15" ht="22.95" customHeight="1">
      <c r="K117" s="851"/>
      <c r="L117" s="851"/>
      <c r="M117" s="851" t="s">
        <v>849</v>
      </c>
    </row>
    <row r="118" spans="2:15" ht="22.95" customHeight="1">
      <c r="C118" t="s">
        <v>850</v>
      </c>
      <c r="J118" s="851"/>
      <c r="K118" s="851">
        <v>12</v>
      </c>
      <c r="L118" s="851" t="e">
        <f>#REF!*K118</f>
        <v>#REF!</v>
      </c>
      <c r="M118" s="851" t="e">
        <f t="shared" ref="M118:M122" si="0">L118*2</f>
        <v>#REF!</v>
      </c>
      <c r="N118" s="864" t="e">
        <f t="shared" ref="N118:N122" si="1">M118/6</f>
        <v>#REF!</v>
      </c>
      <c r="O118" t="s">
        <v>851</v>
      </c>
    </row>
    <row r="119" spans="2:15" ht="22.95" customHeight="1">
      <c r="H119" s="851" t="s">
        <v>852</v>
      </c>
      <c r="I119" s="851"/>
      <c r="J119" s="851"/>
      <c r="K119" s="851"/>
      <c r="L119" s="851"/>
    </row>
    <row r="120" spans="2:15" ht="22.05" customHeight="1">
      <c r="H120" s="851"/>
      <c r="I120" s="851"/>
      <c r="K120" s="851">
        <v>8</v>
      </c>
      <c r="L120" s="851" t="e">
        <f>#REF!*K120</f>
        <v>#REF!</v>
      </c>
      <c r="M120" s="851" t="e">
        <f t="shared" si="0"/>
        <v>#REF!</v>
      </c>
      <c r="N120" s="864" t="e">
        <f t="shared" si="1"/>
        <v>#REF!</v>
      </c>
      <c r="O120" t="s">
        <v>65</v>
      </c>
    </row>
    <row r="121" spans="2:15" ht="22.05" customHeight="1">
      <c r="H121" t="s">
        <v>853</v>
      </c>
      <c r="K121" s="851"/>
      <c r="L121" s="851"/>
    </row>
    <row r="122" spans="2:15" ht="22.05" customHeight="1">
      <c r="K122" s="851">
        <v>1</v>
      </c>
      <c r="L122" s="851" t="e">
        <f>#REF!*K122</f>
        <v>#REF!</v>
      </c>
      <c r="M122" s="851" t="e">
        <f t="shared" si="0"/>
        <v>#REF!</v>
      </c>
      <c r="N122" s="865" t="e">
        <f t="shared" si="1"/>
        <v>#REF!</v>
      </c>
      <c r="O122" t="s">
        <v>65</v>
      </c>
    </row>
    <row r="123" spans="2:15" ht="22.05" customHeight="1">
      <c r="H123" t="s">
        <v>854</v>
      </c>
    </row>
    <row r="124" spans="2:15" ht="22.05" customHeight="1">
      <c r="K124" s="851">
        <v>8</v>
      </c>
      <c r="L124" s="851" t="e">
        <f>K124*#REF!</f>
        <v>#REF!</v>
      </c>
      <c r="N124" s="865" t="e">
        <f t="shared" ref="N124:N129" si="2">L124/6</f>
        <v>#REF!</v>
      </c>
      <c r="O124" t="s">
        <v>65</v>
      </c>
    </row>
    <row r="125" spans="2:15" ht="22.05" customHeight="1">
      <c r="H125" t="s">
        <v>855</v>
      </c>
    </row>
    <row r="126" spans="2:15" ht="22.05" customHeight="1">
      <c r="K126" s="851">
        <v>8</v>
      </c>
      <c r="L126" s="851" t="e">
        <f>K126*#REF!</f>
        <v>#REF!</v>
      </c>
      <c r="N126" s="864" t="e">
        <f t="shared" si="2"/>
        <v>#REF!</v>
      </c>
      <c r="O126" t="s">
        <v>65</v>
      </c>
    </row>
    <row r="127" spans="2:15" ht="22.05" customHeight="1">
      <c r="H127" t="s">
        <v>856</v>
      </c>
      <c r="L127" s="851" t="e">
        <f>K127*#REF!</f>
        <v>#REF!</v>
      </c>
      <c r="N127" s="851"/>
    </row>
    <row r="128" spans="2:15" ht="22.05" customHeight="1">
      <c r="K128">
        <v>3</v>
      </c>
      <c r="L128" s="851" t="e">
        <f>K128*#REF!</f>
        <v>#REF!</v>
      </c>
      <c r="N128" s="864" t="e">
        <f t="shared" si="2"/>
        <v>#REF!</v>
      </c>
      <c r="O128" t="s">
        <v>65</v>
      </c>
    </row>
    <row r="129" spans="2:15" ht="22.05" customHeight="1">
      <c r="H129" t="s">
        <v>857</v>
      </c>
      <c r="K129">
        <v>6</v>
      </c>
      <c r="L129" s="851" t="e">
        <f>K129*#REF!</f>
        <v>#REF!</v>
      </c>
      <c r="N129" s="864" t="e">
        <f t="shared" si="2"/>
        <v>#REF!</v>
      </c>
      <c r="O129" t="s">
        <v>65</v>
      </c>
    </row>
    <row r="130" spans="2:15" ht="22.05" customHeight="1">
      <c r="M130" t="s">
        <v>109</v>
      </c>
      <c r="N130" s="866" t="e">
        <f>SUM(N118:N129)</f>
        <v>#REF!</v>
      </c>
      <c r="O130" t="s">
        <v>65</v>
      </c>
    </row>
    <row r="131" spans="2:15" ht="22.05" customHeight="1">
      <c r="N131" s="863"/>
    </row>
    <row r="132" spans="2:15" ht="22.05" customHeight="1">
      <c r="N132" s="863"/>
    </row>
    <row r="133" spans="2:15" ht="22.05" customHeight="1">
      <c r="J133" s="850"/>
      <c r="K133" s="850"/>
      <c r="L133" s="850"/>
      <c r="M133" s="850"/>
      <c r="N133" s="850"/>
      <c r="O133" s="850"/>
    </row>
    <row r="134" spans="2:15" ht="22.05" customHeight="1">
      <c r="B134" s="850"/>
      <c r="C134" s="850"/>
      <c r="D134" s="850"/>
      <c r="E134" s="850"/>
      <c r="F134" s="850"/>
      <c r="G134" s="850"/>
      <c r="H134" s="850"/>
      <c r="I134" s="850"/>
    </row>
    <row r="135" spans="2:15" ht="22.05" customHeight="1"/>
    <row r="136" spans="2:15" ht="22.05" customHeight="1">
      <c r="C136" t="s">
        <v>858</v>
      </c>
      <c r="H136" t="s">
        <v>821</v>
      </c>
      <c r="K136" s="851">
        <v>6.6</v>
      </c>
      <c r="L136" s="851" t="e">
        <f>K136*#REF!</f>
        <v>#REF!</v>
      </c>
      <c r="M136" s="851" t="e">
        <f>L136*2</f>
        <v>#REF!</v>
      </c>
      <c r="N136" s="867" t="e">
        <f>M136/6</f>
        <v>#REF!</v>
      </c>
    </row>
    <row r="137" spans="2:15" ht="22.05" customHeight="1">
      <c r="G137" t="s">
        <v>859</v>
      </c>
      <c r="N137" s="851"/>
    </row>
    <row r="138" spans="2:15" ht="22.05" customHeight="1">
      <c r="K138" s="851">
        <v>3</v>
      </c>
      <c r="L138" s="851" t="e">
        <f>K138*#REF!</f>
        <v>#REF!</v>
      </c>
      <c r="M138" s="851" t="e">
        <f>L138*2</f>
        <v>#REF!</v>
      </c>
      <c r="N138" s="864" t="e">
        <f>M138/6</f>
        <v>#REF!</v>
      </c>
    </row>
    <row r="139" spans="2:15" ht="22.05" customHeight="1">
      <c r="G139" t="s">
        <v>860</v>
      </c>
      <c r="N139" s="868" t="e">
        <f>SUM(N136:N138)</f>
        <v>#REF!</v>
      </c>
      <c r="O139" t="s">
        <v>109</v>
      </c>
    </row>
    <row r="140" spans="2:15" ht="22.05" customHeight="1"/>
    <row r="141" spans="2:15" ht="22.05" customHeight="1">
      <c r="J141" s="850"/>
      <c r="K141" s="850"/>
      <c r="L141" s="850"/>
      <c r="M141" s="850"/>
      <c r="N141" s="850"/>
      <c r="O141" s="850"/>
    </row>
    <row r="142" spans="2:15" ht="22.05" customHeight="1">
      <c r="B142" s="850"/>
      <c r="C142" s="850"/>
      <c r="D142" s="850"/>
      <c r="E142" s="850"/>
      <c r="F142" s="850"/>
      <c r="G142" s="850"/>
      <c r="H142" s="850"/>
      <c r="I142" s="850"/>
      <c r="K142">
        <v>2</v>
      </c>
      <c r="M142" t="e">
        <f>#REF!*K142</f>
        <v>#REF!</v>
      </c>
    </row>
    <row r="143" spans="2:15" ht="22.05" customHeight="1">
      <c r="B143" t="s">
        <v>861</v>
      </c>
      <c r="K143">
        <v>2</v>
      </c>
      <c r="M143" t="e">
        <f>#REF!*K143</f>
        <v>#REF!</v>
      </c>
    </row>
    <row r="144" spans="2:15" ht="22.05" customHeight="1">
      <c r="M144" s="855" t="e">
        <f>SUM(M142:M143)</f>
        <v>#REF!</v>
      </c>
    </row>
    <row r="145" spans="2:15" ht="22.05" customHeight="1">
      <c r="J145" s="850"/>
      <c r="K145" s="850"/>
      <c r="L145" s="850"/>
      <c r="M145" s="850"/>
      <c r="N145" s="850"/>
      <c r="O145" s="850"/>
    </row>
    <row r="146" spans="2:15" ht="22.05" customHeight="1">
      <c r="B146" s="850"/>
      <c r="C146" s="850"/>
      <c r="D146" s="850"/>
      <c r="E146" s="850"/>
      <c r="F146" s="850"/>
      <c r="G146" s="850"/>
      <c r="H146" s="850"/>
      <c r="I146" s="850"/>
      <c r="M146" t="s">
        <v>862</v>
      </c>
      <c r="N146" t="s">
        <v>863</v>
      </c>
      <c r="O146" t="s">
        <v>864</v>
      </c>
    </row>
    <row r="147" spans="2:15" ht="22.05" customHeight="1">
      <c r="K147">
        <v>11</v>
      </c>
      <c r="M147" s="863">
        <f>K147/0.7</f>
        <v>15.714285714285699</v>
      </c>
      <c r="N147" t="e">
        <f>M147*#REF!</f>
        <v>#REF!</v>
      </c>
      <c r="O147" s="869" t="e">
        <f>N147*2</f>
        <v>#REF!</v>
      </c>
    </row>
    <row r="148" spans="2:15" ht="22.05" customHeight="1">
      <c r="B148" t="s">
        <v>865</v>
      </c>
      <c r="G148" t="s">
        <v>866</v>
      </c>
      <c r="M148" s="863"/>
      <c r="O148" s="870"/>
    </row>
    <row r="149" spans="2:15" ht="22.05" customHeight="1">
      <c r="M149" s="863"/>
      <c r="O149" s="870"/>
    </row>
    <row r="150" spans="2:15" ht="22.05" customHeight="1">
      <c r="K150">
        <v>8</v>
      </c>
      <c r="M150" s="863">
        <f>K150/0.7</f>
        <v>11.4285714285714</v>
      </c>
      <c r="N150" t="e">
        <f>M150*#REF!</f>
        <v>#REF!</v>
      </c>
      <c r="O150" s="869" t="e">
        <f>N150*2</f>
        <v>#REF!</v>
      </c>
    </row>
    <row r="151" spans="2:15" ht="22.05" customHeight="1">
      <c r="G151" t="s">
        <v>867</v>
      </c>
    </row>
    <row r="152" spans="2:15" ht="22.05" customHeight="1">
      <c r="O152" s="871" t="e">
        <f>SUM(O147:O151)</f>
        <v>#REF!</v>
      </c>
    </row>
    <row r="153" spans="2:15" ht="22.05" customHeight="1">
      <c r="J153" s="850"/>
      <c r="K153" s="850"/>
      <c r="L153" s="850"/>
      <c r="M153" s="850"/>
      <c r="N153" s="850"/>
      <c r="O153" s="850"/>
    </row>
    <row r="154" spans="2:15" ht="22.05" customHeight="1">
      <c r="B154" s="850"/>
      <c r="C154" s="850"/>
      <c r="D154" s="850"/>
      <c r="E154" s="850"/>
      <c r="F154" s="850"/>
      <c r="G154" s="850"/>
      <c r="H154" s="850"/>
      <c r="I154" s="850"/>
    </row>
    <row r="155" spans="2:15" ht="22.05" customHeight="1"/>
  </sheetData>
  <mergeCells count="8">
    <mergeCell ref="A3:A4"/>
    <mergeCell ref="A26:A27"/>
    <mergeCell ref="D3:D4"/>
    <mergeCell ref="D26:D27"/>
    <mergeCell ref="E3:E4"/>
    <mergeCell ref="E26:E27"/>
    <mergeCell ref="B3:C4"/>
    <mergeCell ref="B26:C27"/>
  </mergeCells>
  <pageMargins left="4.3055555555555597E-2" right="0.70069444444444495" top="0.75138888888888899" bottom="0.75138888888888899" header="0.29861111111111099" footer="0.29861111111111099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130"/>
  <sheetViews>
    <sheetView topLeftCell="A31" zoomScale="90" zoomScaleNormal="90" workbookViewId="0">
      <selection activeCell="E10" sqref="E10"/>
    </sheetView>
  </sheetViews>
  <sheetFormatPr defaultColWidth="8" defaultRowHeight="21"/>
  <cols>
    <col min="1" max="1" width="8.44140625" style="731" customWidth="1"/>
    <col min="2" max="3" width="22.44140625" style="731" customWidth="1"/>
    <col min="4" max="5" width="6.77734375" style="731" customWidth="1"/>
    <col min="6" max="11" width="10.21875" style="731" customWidth="1"/>
    <col min="12" max="16384" width="8" style="731"/>
  </cols>
  <sheetData>
    <row r="1" spans="1:11" ht="24.75" customHeight="1">
      <c r="A1" s="732" t="s">
        <v>383</v>
      </c>
      <c r="B1" s="733"/>
      <c r="C1" s="734" t="s">
        <v>868</v>
      </c>
      <c r="D1" s="735"/>
      <c r="E1" s="733"/>
      <c r="F1" s="736"/>
      <c r="G1" s="737"/>
      <c r="H1" s="737"/>
      <c r="I1" s="736"/>
      <c r="J1" s="813"/>
      <c r="K1" s="814"/>
    </row>
    <row r="2" spans="1:11" ht="24.75" customHeight="1">
      <c r="A2" s="732" t="str">
        <f>[68]ปร.6!B8</f>
        <v>สถานที่ก่อสร้าง….บ้านกรูด หมู่ที่ 1 ตำบลกรูด อำเภอกาญจนดิษฐ์ จังหวัดสุราษฎร์ธานี</v>
      </c>
      <c r="B2" s="733"/>
      <c r="C2" s="738"/>
      <c r="D2" s="739"/>
      <c r="E2" s="739"/>
      <c r="F2" s="733"/>
      <c r="G2" s="740" t="s">
        <v>385</v>
      </c>
      <c r="H2" s="741" t="s">
        <v>869</v>
      </c>
      <c r="I2" s="742"/>
      <c r="J2" s="740" t="s">
        <v>387</v>
      </c>
      <c r="K2" s="815">
        <v>5</v>
      </c>
    </row>
    <row r="3" spans="1:11" ht="24.75" customHeight="1">
      <c r="A3" s="732" t="s">
        <v>388</v>
      </c>
      <c r="B3" s="733"/>
      <c r="C3" s="734" t="str">
        <f>[68]ปร.6!E5</f>
        <v>ส่วนบริหารจัดการน้ำ</v>
      </c>
      <c r="D3" s="739"/>
      <c r="E3" s="733"/>
      <c r="F3" s="740"/>
      <c r="G3" s="742"/>
      <c r="H3" s="742"/>
      <c r="I3" s="740"/>
      <c r="J3" s="815"/>
      <c r="K3" s="816"/>
    </row>
    <row r="4" spans="1:11" ht="24.75" customHeight="1">
      <c r="A4" s="732" t="s">
        <v>389</v>
      </c>
      <c r="B4" s="733"/>
      <c r="C4" s="738" t="str">
        <f>[68]ทดสอบดิน!C4</f>
        <v>นายประเสริฐ  บัวดำ</v>
      </c>
      <c r="D4" s="739"/>
      <c r="E4" s="733"/>
      <c r="F4" s="740" t="str">
        <f>[68]ปร.6!I12</f>
        <v>เมื่อวันที่  25  เดือน กรกฎาคม  พ.ศ.  2551</v>
      </c>
      <c r="G4" s="743"/>
      <c r="H4" s="741"/>
      <c r="I4" s="736"/>
      <c r="J4" s="813"/>
      <c r="K4" s="814"/>
    </row>
    <row r="5" spans="1:11" ht="15.75" customHeight="1">
      <c r="A5" s="744"/>
      <c r="B5" s="745"/>
      <c r="C5" s="745"/>
      <c r="D5" s="746"/>
      <c r="E5" s="745"/>
      <c r="F5" s="747"/>
      <c r="G5" s="748"/>
      <c r="H5" s="748"/>
      <c r="I5" s="747"/>
      <c r="J5" s="817"/>
    </row>
    <row r="6" spans="1:11" ht="21.75" customHeight="1">
      <c r="A6" s="749" t="s">
        <v>95</v>
      </c>
      <c r="B6" s="750" t="s">
        <v>96</v>
      </c>
      <c r="C6" s="751"/>
      <c r="D6" s="752" t="s">
        <v>391</v>
      </c>
      <c r="E6" s="753"/>
      <c r="F6" s="754" t="s">
        <v>107</v>
      </c>
      <c r="G6" s="755"/>
      <c r="H6" s="754" t="s">
        <v>177</v>
      </c>
      <c r="I6" s="818"/>
      <c r="J6" s="819" t="s">
        <v>392</v>
      </c>
      <c r="K6" s="749" t="s">
        <v>100</v>
      </c>
    </row>
    <row r="7" spans="1:11" ht="21.75" customHeight="1">
      <c r="A7" s="756"/>
      <c r="B7" s="757"/>
      <c r="C7" s="758"/>
      <c r="D7" s="759"/>
      <c r="E7" s="760"/>
      <c r="F7" s="761" t="s">
        <v>393</v>
      </c>
      <c r="G7" s="762" t="s">
        <v>181</v>
      </c>
      <c r="H7" s="761" t="s">
        <v>393</v>
      </c>
      <c r="I7" s="820" t="s">
        <v>181</v>
      </c>
      <c r="J7" s="756" t="s">
        <v>394</v>
      </c>
      <c r="K7" s="821"/>
    </row>
    <row r="8" spans="1:11" ht="21.75" customHeight="1">
      <c r="A8" s="763"/>
      <c r="B8" s="764" t="s">
        <v>401</v>
      </c>
      <c r="C8" s="765"/>
      <c r="D8" s="766"/>
      <c r="E8" s="767"/>
      <c r="F8" s="768"/>
      <c r="G8" s="769"/>
      <c r="H8" s="769"/>
      <c r="I8" s="769"/>
      <c r="J8" s="771"/>
      <c r="K8" s="771"/>
    </row>
    <row r="9" spans="1:11" ht="21.75" customHeight="1">
      <c r="A9" s="763">
        <v>1.1000000000000001</v>
      </c>
      <c r="B9" s="770" t="s">
        <v>870</v>
      </c>
      <c r="C9" s="771"/>
      <c r="D9" s="766">
        <v>19</v>
      </c>
      <c r="E9" s="772" t="s">
        <v>184</v>
      </c>
      <c r="F9" s="773"/>
      <c r="G9" s="768">
        <f t="shared" ref="G9:G15" si="0">D9*F9</f>
        <v>0</v>
      </c>
      <c r="H9" s="774">
        <v>76</v>
      </c>
      <c r="I9" s="768">
        <f t="shared" ref="I9:I15" si="1">D9*H9</f>
        <v>1444</v>
      </c>
      <c r="J9" s="822">
        <f t="shared" ref="J9:J15" si="2">SUM(G9,I9)</f>
        <v>1444</v>
      </c>
      <c r="K9" s="771"/>
    </row>
    <row r="10" spans="1:11" ht="21.75" customHeight="1">
      <c r="A10" s="763">
        <v>1.2</v>
      </c>
      <c r="B10" s="775" t="s">
        <v>871</v>
      </c>
      <c r="C10" s="771"/>
      <c r="D10" s="766">
        <v>1</v>
      </c>
      <c r="E10" s="772" t="s">
        <v>184</v>
      </c>
      <c r="F10" s="773">
        <v>330</v>
      </c>
      <c r="G10" s="768">
        <f t="shared" si="0"/>
        <v>330</v>
      </c>
      <c r="H10" s="774">
        <v>55</v>
      </c>
      <c r="I10" s="768">
        <f t="shared" si="1"/>
        <v>55</v>
      </c>
      <c r="J10" s="822">
        <f t="shared" si="2"/>
        <v>385</v>
      </c>
      <c r="K10" s="771"/>
    </row>
    <row r="11" spans="1:11" ht="21.75" customHeight="1">
      <c r="A11" s="763"/>
      <c r="B11" s="776" t="s">
        <v>872</v>
      </c>
      <c r="C11" s="771"/>
      <c r="D11" s="766"/>
      <c r="E11" s="772"/>
      <c r="F11" s="773"/>
      <c r="G11" s="768"/>
      <c r="H11" s="774"/>
      <c r="I11" s="768"/>
      <c r="J11" s="771"/>
      <c r="K11" s="771"/>
    </row>
    <row r="12" spans="1:11" ht="21.75" customHeight="1">
      <c r="A12" s="763">
        <v>2.1</v>
      </c>
      <c r="B12" s="775" t="s">
        <v>599</v>
      </c>
      <c r="C12" s="771"/>
      <c r="D12" s="766">
        <v>11</v>
      </c>
      <c r="E12" s="772" t="s">
        <v>73</v>
      </c>
      <c r="F12" s="777">
        <v>580</v>
      </c>
      <c r="G12" s="768">
        <f t="shared" si="0"/>
        <v>6380</v>
      </c>
      <c r="H12" s="777"/>
      <c r="I12" s="768">
        <f t="shared" si="1"/>
        <v>0</v>
      </c>
      <c r="J12" s="769">
        <f t="shared" si="2"/>
        <v>6380</v>
      </c>
      <c r="K12" s="771"/>
    </row>
    <row r="13" spans="1:11" ht="21.75" customHeight="1">
      <c r="A13" s="763">
        <v>2.2000000000000002</v>
      </c>
      <c r="B13" s="775" t="s">
        <v>177</v>
      </c>
      <c r="C13" s="771"/>
      <c r="D13" s="766">
        <v>32</v>
      </c>
      <c r="E13" s="772" t="s">
        <v>83</v>
      </c>
      <c r="F13" s="777"/>
      <c r="G13" s="768">
        <f t="shared" si="0"/>
        <v>0</v>
      </c>
      <c r="H13" s="777">
        <v>99</v>
      </c>
      <c r="I13" s="768">
        <f t="shared" si="1"/>
        <v>3168</v>
      </c>
      <c r="J13" s="769">
        <f t="shared" si="2"/>
        <v>3168</v>
      </c>
      <c r="K13" s="771"/>
    </row>
    <row r="14" spans="1:11" ht="21.75" customHeight="1">
      <c r="A14" s="763">
        <v>2.2999999999999998</v>
      </c>
      <c r="B14" s="775" t="s">
        <v>873</v>
      </c>
      <c r="C14" s="771"/>
      <c r="D14" s="766">
        <v>8</v>
      </c>
      <c r="E14" s="772" t="s">
        <v>73</v>
      </c>
      <c r="F14" s="777">
        <v>330</v>
      </c>
      <c r="G14" s="768">
        <f t="shared" si="0"/>
        <v>2640</v>
      </c>
      <c r="H14" s="777"/>
      <c r="I14" s="768">
        <f t="shared" si="1"/>
        <v>0</v>
      </c>
      <c r="J14" s="769">
        <f t="shared" si="2"/>
        <v>2640</v>
      </c>
      <c r="K14" s="771"/>
    </row>
    <row r="15" spans="1:11" ht="21.75" customHeight="1">
      <c r="A15" s="763">
        <v>2.4</v>
      </c>
      <c r="B15" s="775" t="s">
        <v>80</v>
      </c>
      <c r="C15" s="771"/>
      <c r="D15" s="766">
        <v>8</v>
      </c>
      <c r="E15" s="772" t="s">
        <v>81</v>
      </c>
      <c r="F15" s="773">
        <v>56</v>
      </c>
      <c r="G15" s="768">
        <f t="shared" si="0"/>
        <v>448</v>
      </c>
      <c r="H15" s="778"/>
      <c r="I15" s="768">
        <f t="shared" si="1"/>
        <v>0</v>
      </c>
      <c r="J15" s="822">
        <f t="shared" si="2"/>
        <v>448</v>
      </c>
      <c r="K15" s="771"/>
    </row>
    <row r="16" spans="1:11" ht="21.75" customHeight="1">
      <c r="A16" s="763"/>
      <c r="B16" s="776" t="s">
        <v>874</v>
      </c>
      <c r="C16" s="779"/>
      <c r="D16" s="766"/>
      <c r="E16" s="772"/>
      <c r="F16" s="773"/>
      <c r="G16" s="768"/>
      <c r="H16" s="774"/>
      <c r="I16" s="768"/>
      <c r="J16" s="771"/>
      <c r="K16" s="771"/>
    </row>
    <row r="17" spans="1:11" ht="21.75" customHeight="1">
      <c r="A17" s="763">
        <v>3.1</v>
      </c>
      <c r="B17" s="780" t="s">
        <v>875</v>
      </c>
      <c r="C17" s="771"/>
      <c r="D17" s="766">
        <v>1</v>
      </c>
      <c r="E17" s="772" t="s">
        <v>184</v>
      </c>
      <c r="F17" s="773">
        <v>1450</v>
      </c>
      <c r="G17" s="768">
        <f t="shared" ref="G17:G22" si="3">D17*F17</f>
        <v>1450</v>
      </c>
      <c r="H17" s="774">
        <v>300</v>
      </c>
      <c r="I17" s="768">
        <f t="shared" ref="I17:I22" si="4">D17*H17</f>
        <v>300</v>
      </c>
      <c r="J17" s="822">
        <f t="shared" ref="J17:J22" si="5">SUM(G17,I17)</f>
        <v>1750</v>
      </c>
      <c r="K17" s="771"/>
    </row>
    <row r="18" spans="1:11" ht="21.75" customHeight="1">
      <c r="A18" s="763">
        <v>3.2</v>
      </c>
      <c r="B18" s="780" t="s">
        <v>876</v>
      </c>
      <c r="C18" s="771"/>
      <c r="D18" s="766">
        <v>6</v>
      </c>
      <c r="E18" s="772" t="s">
        <v>184</v>
      </c>
      <c r="F18" s="773">
        <v>1650</v>
      </c>
      <c r="G18" s="768">
        <f t="shared" si="3"/>
        <v>9900</v>
      </c>
      <c r="H18" s="774">
        <v>466</v>
      </c>
      <c r="I18" s="768">
        <f t="shared" si="4"/>
        <v>2796</v>
      </c>
      <c r="J18" s="822">
        <f t="shared" si="5"/>
        <v>12696</v>
      </c>
      <c r="K18" s="771"/>
    </row>
    <row r="19" spans="1:11" ht="21.75" customHeight="1">
      <c r="A19" s="763"/>
      <c r="B19" s="776" t="s">
        <v>877</v>
      </c>
      <c r="C19" s="779"/>
      <c r="D19" s="766"/>
      <c r="E19" s="772"/>
      <c r="F19" s="773"/>
      <c r="G19" s="768"/>
      <c r="H19" s="774"/>
      <c r="I19" s="768"/>
      <c r="J19" s="771"/>
      <c r="K19" s="771"/>
    </row>
    <row r="20" spans="1:11" ht="21.75" customHeight="1">
      <c r="A20" s="763">
        <v>4.0999999999999996</v>
      </c>
      <c r="B20" s="775" t="s">
        <v>878</v>
      </c>
      <c r="C20" s="771"/>
      <c r="D20" s="781">
        <v>54</v>
      </c>
      <c r="E20" s="772" t="s">
        <v>81</v>
      </c>
      <c r="F20" s="777">
        <v>41</v>
      </c>
      <c r="G20" s="768">
        <f t="shared" si="3"/>
        <v>2214</v>
      </c>
      <c r="H20" s="777">
        <v>3</v>
      </c>
      <c r="I20" s="768">
        <f t="shared" si="4"/>
        <v>162</v>
      </c>
      <c r="J20" s="769">
        <f t="shared" si="5"/>
        <v>2376</v>
      </c>
      <c r="K20" s="771"/>
    </row>
    <row r="21" spans="1:11" ht="21.75" customHeight="1">
      <c r="A21" s="763">
        <v>4.2</v>
      </c>
      <c r="B21" s="775" t="s">
        <v>879</v>
      </c>
      <c r="C21" s="771"/>
      <c r="D21" s="781">
        <v>300</v>
      </c>
      <c r="E21" s="772" t="s">
        <v>81</v>
      </c>
      <c r="F21" s="777">
        <v>40</v>
      </c>
      <c r="G21" s="768">
        <f t="shared" si="3"/>
        <v>12000</v>
      </c>
      <c r="H21" s="777">
        <v>3</v>
      </c>
      <c r="I21" s="768">
        <f t="shared" si="4"/>
        <v>900</v>
      </c>
      <c r="J21" s="769">
        <f t="shared" si="5"/>
        <v>12900</v>
      </c>
      <c r="K21" s="771"/>
    </row>
    <row r="22" spans="1:11" ht="21.75" customHeight="1">
      <c r="A22" s="763">
        <v>4.3</v>
      </c>
      <c r="B22" s="775" t="s">
        <v>880</v>
      </c>
      <c r="C22" s="771"/>
      <c r="D22" s="766">
        <v>11</v>
      </c>
      <c r="E22" s="772" t="s">
        <v>81</v>
      </c>
      <c r="F22" s="777">
        <v>52</v>
      </c>
      <c r="G22" s="768">
        <f t="shared" si="3"/>
        <v>572</v>
      </c>
      <c r="H22" s="777"/>
      <c r="I22" s="768">
        <f t="shared" si="4"/>
        <v>0</v>
      </c>
      <c r="J22" s="769">
        <f t="shared" si="5"/>
        <v>572</v>
      </c>
      <c r="K22" s="771"/>
    </row>
    <row r="23" spans="1:11" ht="21.75" customHeight="1">
      <c r="A23" s="782"/>
      <c r="B23" s="783"/>
      <c r="C23" s="784" t="s">
        <v>214</v>
      </c>
      <c r="D23" s="785"/>
      <c r="E23" s="786"/>
      <c r="F23" s="787"/>
      <c r="G23" s="788">
        <f t="shared" ref="G23:J23" si="6">SUM(G8:G22)</f>
        <v>35934</v>
      </c>
      <c r="H23" s="789"/>
      <c r="I23" s="823">
        <f t="shared" si="6"/>
        <v>8825</v>
      </c>
      <c r="J23" s="824">
        <f t="shared" si="6"/>
        <v>44759</v>
      </c>
      <c r="K23" s="821"/>
    </row>
    <row r="24" spans="1:11" ht="21.75" customHeight="1">
      <c r="A24" s="763"/>
      <c r="B24" s="790"/>
      <c r="C24" s="791" t="s">
        <v>216</v>
      </c>
      <c r="D24" s="766"/>
      <c r="E24" s="792"/>
      <c r="F24" s="777"/>
      <c r="G24" s="793">
        <f>G23</f>
        <v>35934</v>
      </c>
      <c r="H24" s="794"/>
      <c r="I24" s="793">
        <f>I23</f>
        <v>8825</v>
      </c>
      <c r="J24" s="825">
        <f t="shared" ref="J24:J31" si="7">SUM(G24,I24)</f>
        <v>44759</v>
      </c>
      <c r="K24" s="771"/>
    </row>
    <row r="25" spans="1:11" ht="21.75" customHeight="1">
      <c r="A25" s="795"/>
      <c r="B25" s="796" t="s">
        <v>881</v>
      </c>
      <c r="C25" s="797"/>
      <c r="D25" s="798"/>
      <c r="E25" s="799"/>
      <c r="F25" s="773"/>
      <c r="G25" s="773"/>
      <c r="H25" s="773"/>
      <c r="I25" s="773"/>
      <c r="J25" s="826"/>
      <c r="K25" s="771"/>
    </row>
    <row r="26" spans="1:11" ht="21.75" customHeight="1">
      <c r="A26" s="795">
        <v>5.0999999999999996</v>
      </c>
      <c r="B26" s="800" t="s">
        <v>882</v>
      </c>
      <c r="C26" s="801"/>
      <c r="D26" s="798">
        <v>8</v>
      </c>
      <c r="E26" s="799" t="s">
        <v>65</v>
      </c>
      <c r="F26" s="773">
        <v>1770</v>
      </c>
      <c r="G26" s="773">
        <f t="shared" ref="G26:G30" si="8">D26*F26</f>
        <v>14160</v>
      </c>
      <c r="H26" s="773"/>
      <c r="I26" s="773"/>
      <c r="J26" s="774">
        <f t="shared" si="7"/>
        <v>14160</v>
      </c>
      <c r="K26" s="771"/>
    </row>
    <row r="27" spans="1:11" ht="21.75" customHeight="1">
      <c r="A27" s="795">
        <v>5.2</v>
      </c>
      <c r="B27" s="800" t="s">
        <v>883</v>
      </c>
      <c r="C27" s="801"/>
      <c r="D27" s="798">
        <v>4</v>
      </c>
      <c r="E27" s="799" t="s">
        <v>65</v>
      </c>
      <c r="F27" s="773">
        <v>1364</v>
      </c>
      <c r="G27" s="773">
        <f t="shared" si="8"/>
        <v>5456</v>
      </c>
      <c r="H27" s="773"/>
      <c r="I27" s="773"/>
      <c r="J27" s="827">
        <f t="shared" si="7"/>
        <v>5456</v>
      </c>
      <c r="K27" s="771"/>
    </row>
    <row r="28" spans="1:11" ht="21.75" customHeight="1">
      <c r="A28" s="795">
        <v>5.3</v>
      </c>
      <c r="B28" s="800" t="s">
        <v>884</v>
      </c>
      <c r="C28" s="801"/>
      <c r="D28" s="798">
        <v>27</v>
      </c>
      <c r="E28" s="799" t="s">
        <v>65</v>
      </c>
      <c r="F28" s="773">
        <v>1060</v>
      </c>
      <c r="G28" s="773">
        <f t="shared" si="8"/>
        <v>28620</v>
      </c>
      <c r="H28" s="773"/>
      <c r="I28" s="773"/>
      <c r="J28" s="774">
        <f t="shared" si="7"/>
        <v>28620</v>
      </c>
      <c r="K28" s="771"/>
    </row>
    <row r="29" spans="1:11" ht="21.75" customHeight="1">
      <c r="A29" s="795">
        <v>5.4</v>
      </c>
      <c r="B29" s="800" t="s">
        <v>885</v>
      </c>
      <c r="C29" s="801"/>
      <c r="D29" s="798">
        <v>32</v>
      </c>
      <c r="E29" s="799" t="s">
        <v>65</v>
      </c>
      <c r="F29" s="773">
        <v>505</v>
      </c>
      <c r="G29" s="773">
        <f t="shared" si="8"/>
        <v>16160</v>
      </c>
      <c r="H29" s="773"/>
      <c r="I29" s="773"/>
      <c r="J29" s="774">
        <f t="shared" si="7"/>
        <v>16160</v>
      </c>
      <c r="K29" s="771"/>
    </row>
    <row r="30" spans="1:11" ht="21.75" customHeight="1">
      <c r="A30" s="795">
        <v>5.5</v>
      </c>
      <c r="B30" s="800" t="s">
        <v>886</v>
      </c>
      <c r="C30" s="801"/>
      <c r="D30" s="798">
        <v>3</v>
      </c>
      <c r="E30" s="799" t="s">
        <v>65</v>
      </c>
      <c r="F30" s="773">
        <v>550</v>
      </c>
      <c r="G30" s="773">
        <f t="shared" si="8"/>
        <v>1650</v>
      </c>
      <c r="H30" s="773"/>
      <c r="I30" s="773"/>
      <c r="J30" s="774">
        <f t="shared" si="7"/>
        <v>1650</v>
      </c>
      <c r="K30" s="771"/>
    </row>
    <row r="31" spans="1:11" ht="21.75" customHeight="1">
      <c r="A31" s="795">
        <v>5.6</v>
      </c>
      <c r="B31" s="800" t="s">
        <v>887</v>
      </c>
      <c r="C31" s="801"/>
      <c r="D31" s="798">
        <v>1</v>
      </c>
      <c r="E31" s="799" t="s">
        <v>96</v>
      </c>
      <c r="F31" s="773"/>
      <c r="G31" s="773"/>
      <c r="H31" s="773">
        <v>27500</v>
      </c>
      <c r="I31" s="773">
        <f t="shared" ref="I31:I35" si="9">D31*H31</f>
        <v>27500</v>
      </c>
      <c r="J31" s="774">
        <f t="shared" si="7"/>
        <v>27500</v>
      </c>
      <c r="K31" s="771"/>
    </row>
    <row r="32" spans="1:11" ht="21.75" customHeight="1">
      <c r="A32" s="795"/>
      <c r="B32" s="796" t="s">
        <v>888</v>
      </c>
      <c r="C32" s="801"/>
      <c r="D32" s="798"/>
      <c r="E32" s="799"/>
      <c r="F32" s="773"/>
      <c r="G32" s="773"/>
      <c r="H32" s="773"/>
      <c r="I32" s="773"/>
      <c r="J32" s="774"/>
      <c r="K32" s="771"/>
    </row>
    <row r="33" spans="1:11" ht="21.75" customHeight="1">
      <c r="A33" s="795">
        <v>6.1</v>
      </c>
      <c r="B33" s="800" t="s">
        <v>882</v>
      </c>
      <c r="C33" s="801"/>
      <c r="D33" s="798">
        <v>4</v>
      </c>
      <c r="E33" s="799" t="s">
        <v>65</v>
      </c>
      <c r="F33" s="773">
        <v>1770</v>
      </c>
      <c r="G33" s="773">
        <f t="shared" ref="G33:G38" si="10">D33*F33</f>
        <v>7080</v>
      </c>
      <c r="H33" s="773">
        <v>150</v>
      </c>
      <c r="I33" s="773">
        <f t="shared" si="9"/>
        <v>600</v>
      </c>
      <c r="J33" s="774">
        <f t="shared" ref="J33:J38" si="11">SUM(G33,I33)</f>
        <v>7680</v>
      </c>
      <c r="K33" s="771"/>
    </row>
    <row r="34" spans="1:11" ht="21.75" customHeight="1">
      <c r="A34" s="795">
        <v>6.2</v>
      </c>
      <c r="B34" s="800" t="s">
        <v>884</v>
      </c>
      <c r="C34" s="801"/>
      <c r="D34" s="798">
        <v>6</v>
      </c>
      <c r="E34" s="799" t="s">
        <v>65</v>
      </c>
      <c r="F34" s="773">
        <v>1060</v>
      </c>
      <c r="G34" s="773">
        <f t="shared" si="10"/>
        <v>6360</v>
      </c>
      <c r="H34" s="773">
        <v>108</v>
      </c>
      <c r="I34" s="773">
        <f t="shared" si="9"/>
        <v>648</v>
      </c>
      <c r="J34" s="774">
        <f t="shared" si="11"/>
        <v>7008</v>
      </c>
      <c r="K34" s="771"/>
    </row>
    <row r="35" spans="1:11" ht="21.75" customHeight="1">
      <c r="A35" s="802">
        <v>6.3</v>
      </c>
      <c r="B35" s="800" t="s">
        <v>889</v>
      </c>
      <c r="C35" s="801"/>
      <c r="D35" s="798">
        <v>1</v>
      </c>
      <c r="E35" s="799" t="s">
        <v>65</v>
      </c>
      <c r="F35" s="773">
        <v>530</v>
      </c>
      <c r="G35" s="773">
        <f t="shared" si="10"/>
        <v>530</v>
      </c>
      <c r="H35" s="773">
        <v>72</v>
      </c>
      <c r="I35" s="773">
        <f t="shared" si="9"/>
        <v>72</v>
      </c>
      <c r="J35" s="774">
        <f t="shared" si="11"/>
        <v>602</v>
      </c>
      <c r="K35" s="771"/>
    </row>
    <row r="36" spans="1:11" ht="21.75" customHeight="1">
      <c r="A36" s="802">
        <v>6.4</v>
      </c>
      <c r="B36" s="800" t="s">
        <v>890</v>
      </c>
      <c r="C36" s="801"/>
      <c r="D36" s="798">
        <v>1</v>
      </c>
      <c r="E36" s="799" t="s">
        <v>195</v>
      </c>
      <c r="F36" s="773">
        <v>150</v>
      </c>
      <c r="G36" s="773">
        <f t="shared" si="10"/>
        <v>150</v>
      </c>
      <c r="H36" s="773"/>
      <c r="I36" s="773"/>
      <c r="J36" s="774">
        <f t="shared" si="11"/>
        <v>150</v>
      </c>
      <c r="K36" s="822"/>
    </row>
    <row r="37" spans="1:11" ht="21.75" customHeight="1">
      <c r="A37" s="802">
        <v>6.5</v>
      </c>
      <c r="B37" s="800" t="s">
        <v>891</v>
      </c>
      <c r="C37" s="801"/>
      <c r="D37" s="798">
        <v>5</v>
      </c>
      <c r="E37" s="799" t="s">
        <v>195</v>
      </c>
      <c r="F37" s="773">
        <v>56</v>
      </c>
      <c r="G37" s="773">
        <f t="shared" si="10"/>
        <v>280</v>
      </c>
      <c r="H37" s="773"/>
      <c r="I37" s="773"/>
      <c r="J37" s="774">
        <f t="shared" si="11"/>
        <v>280</v>
      </c>
      <c r="K37" s="822"/>
    </row>
    <row r="38" spans="1:11" ht="21.75" customHeight="1">
      <c r="A38" s="802">
        <v>6.6</v>
      </c>
      <c r="B38" s="800" t="s">
        <v>892</v>
      </c>
      <c r="C38" s="801"/>
      <c r="D38" s="798">
        <v>4</v>
      </c>
      <c r="E38" s="799" t="s">
        <v>195</v>
      </c>
      <c r="F38" s="773">
        <v>119</v>
      </c>
      <c r="G38" s="773">
        <f t="shared" si="10"/>
        <v>476</v>
      </c>
      <c r="H38" s="773"/>
      <c r="I38" s="773"/>
      <c r="J38" s="774">
        <f t="shared" si="11"/>
        <v>476</v>
      </c>
      <c r="K38" s="771"/>
    </row>
    <row r="39" spans="1:11" ht="21.75" customHeight="1">
      <c r="A39" s="782"/>
      <c r="B39" s="783"/>
      <c r="C39" s="803" t="s">
        <v>214</v>
      </c>
      <c r="D39" s="804"/>
      <c r="E39" s="805"/>
      <c r="F39" s="806"/>
      <c r="G39" s="807">
        <f t="shared" ref="G39:J39" si="12">SUM(G24:G38)</f>
        <v>116856</v>
      </c>
      <c r="H39" s="808"/>
      <c r="I39" s="824">
        <f t="shared" si="12"/>
        <v>37645</v>
      </c>
      <c r="J39" s="828">
        <f t="shared" si="12"/>
        <v>154501</v>
      </c>
      <c r="K39" s="829"/>
    </row>
    <row r="40" spans="1:11" ht="21.75" customHeight="1">
      <c r="A40" s="763"/>
      <c r="B40" s="790"/>
      <c r="C40" s="791" t="s">
        <v>216</v>
      </c>
      <c r="D40" s="766"/>
      <c r="E40" s="772"/>
      <c r="F40" s="773"/>
      <c r="G40" s="809">
        <f>G39</f>
        <v>116856</v>
      </c>
      <c r="H40" s="774"/>
      <c r="I40" s="809">
        <f>I39</f>
        <v>37645</v>
      </c>
      <c r="J40" s="825">
        <f t="shared" ref="J40:J51" si="13">SUM(G40,I40)</f>
        <v>154501</v>
      </c>
      <c r="K40" s="771"/>
    </row>
    <row r="41" spans="1:11" ht="21.75" customHeight="1">
      <c r="A41" s="802">
        <v>6.7</v>
      </c>
      <c r="B41" s="800" t="s">
        <v>893</v>
      </c>
      <c r="C41" s="801"/>
      <c r="D41" s="798">
        <v>8</v>
      </c>
      <c r="E41" s="799" t="s">
        <v>195</v>
      </c>
      <c r="F41" s="773">
        <v>41</v>
      </c>
      <c r="G41" s="773">
        <f t="shared" ref="G41:G51" si="14">D41*F41</f>
        <v>328</v>
      </c>
      <c r="H41" s="773"/>
      <c r="I41" s="773"/>
      <c r="J41" s="774">
        <f t="shared" si="13"/>
        <v>328</v>
      </c>
      <c r="K41" s="771"/>
    </row>
    <row r="42" spans="1:11" ht="21.75" customHeight="1">
      <c r="A42" s="795">
        <v>6.8</v>
      </c>
      <c r="B42" s="800" t="s">
        <v>894</v>
      </c>
      <c r="C42" s="801"/>
      <c r="D42" s="798">
        <v>1</v>
      </c>
      <c r="E42" s="799" t="s">
        <v>195</v>
      </c>
      <c r="F42" s="773">
        <v>209</v>
      </c>
      <c r="G42" s="773">
        <f t="shared" si="14"/>
        <v>209</v>
      </c>
      <c r="H42" s="773"/>
      <c r="I42" s="773"/>
      <c r="J42" s="774">
        <f t="shared" si="13"/>
        <v>209</v>
      </c>
      <c r="K42" s="771"/>
    </row>
    <row r="43" spans="1:11" ht="21.75" customHeight="1">
      <c r="A43" s="802">
        <v>6.9</v>
      </c>
      <c r="B43" s="800" t="s">
        <v>895</v>
      </c>
      <c r="C43" s="801"/>
      <c r="D43" s="798">
        <v>4</v>
      </c>
      <c r="E43" s="799" t="s">
        <v>195</v>
      </c>
      <c r="F43" s="773">
        <v>79</v>
      </c>
      <c r="G43" s="773">
        <f t="shared" si="14"/>
        <v>316</v>
      </c>
      <c r="H43" s="773"/>
      <c r="I43" s="773"/>
      <c r="J43" s="774">
        <f t="shared" si="13"/>
        <v>316</v>
      </c>
      <c r="K43" s="771"/>
    </row>
    <row r="44" spans="1:11" ht="21.75" customHeight="1">
      <c r="A44" s="810">
        <v>6.1</v>
      </c>
      <c r="B44" s="800" t="s">
        <v>896</v>
      </c>
      <c r="C44" s="801"/>
      <c r="D44" s="798">
        <v>6</v>
      </c>
      <c r="E44" s="799" t="s">
        <v>212</v>
      </c>
      <c r="F44" s="773">
        <v>150</v>
      </c>
      <c r="G44" s="773">
        <f t="shared" si="14"/>
        <v>900</v>
      </c>
      <c r="H44" s="773"/>
      <c r="I44" s="773"/>
      <c r="J44" s="774">
        <f t="shared" si="13"/>
        <v>900</v>
      </c>
      <c r="K44" s="771"/>
    </row>
    <row r="45" spans="1:11" ht="21.75" customHeight="1">
      <c r="A45" s="810">
        <v>6.11</v>
      </c>
      <c r="B45" s="800" t="s">
        <v>897</v>
      </c>
      <c r="C45" s="801"/>
      <c r="D45" s="798">
        <v>12</v>
      </c>
      <c r="E45" s="772" t="s">
        <v>212</v>
      </c>
      <c r="F45" s="811">
        <v>180</v>
      </c>
      <c r="G45" s="773">
        <f t="shared" si="14"/>
        <v>2160</v>
      </c>
      <c r="H45" s="811"/>
      <c r="I45" s="811"/>
      <c r="J45" s="774">
        <f t="shared" si="13"/>
        <v>2160</v>
      </c>
      <c r="K45" s="771"/>
    </row>
    <row r="46" spans="1:11" ht="21.75" customHeight="1">
      <c r="A46" s="795">
        <v>6.12</v>
      </c>
      <c r="B46" s="800" t="s">
        <v>898</v>
      </c>
      <c r="C46" s="812"/>
      <c r="D46" s="798">
        <v>1</v>
      </c>
      <c r="E46" s="799" t="s">
        <v>212</v>
      </c>
      <c r="F46" s="773">
        <v>4880</v>
      </c>
      <c r="G46" s="773">
        <f t="shared" si="14"/>
        <v>4880</v>
      </c>
      <c r="H46" s="777">
        <v>75</v>
      </c>
      <c r="I46" s="773">
        <f>D46*H46</f>
        <v>75</v>
      </c>
      <c r="J46" s="774">
        <f t="shared" si="13"/>
        <v>4955</v>
      </c>
      <c r="K46" s="771"/>
    </row>
    <row r="47" spans="1:11" ht="21.75" customHeight="1">
      <c r="A47" s="795">
        <v>6.13</v>
      </c>
      <c r="B47" s="800" t="s">
        <v>899</v>
      </c>
      <c r="C47" s="801"/>
      <c r="D47" s="798">
        <v>1</v>
      </c>
      <c r="E47" s="799" t="s">
        <v>212</v>
      </c>
      <c r="F47" s="773">
        <v>2700</v>
      </c>
      <c r="G47" s="773">
        <f t="shared" si="14"/>
        <v>2700</v>
      </c>
      <c r="H47" s="773">
        <v>75</v>
      </c>
      <c r="I47" s="773">
        <f>D47*H47</f>
        <v>75</v>
      </c>
      <c r="J47" s="774">
        <f t="shared" si="13"/>
        <v>2775</v>
      </c>
      <c r="K47" s="822"/>
    </row>
    <row r="48" spans="1:11" ht="21.75" customHeight="1">
      <c r="A48" s="810">
        <v>6.14</v>
      </c>
      <c r="B48" s="800" t="s">
        <v>900</v>
      </c>
      <c r="C48" s="801"/>
      <c r="D48" s="798">
        <v>2</v>
      </c>
      <c r="E48" s="799" t="s">
        <v>195</v>
      </c>
      <c r="F48" s="773">
        <v>33</v>
      </c>
      <c r="G48" s="773">
        <f t="shared" si="14"/>
        <v>66</v>
      </c>
      <c r="H48" s="773"/>
      <c r="I48" s="773"/>
      <c r="J48" s="774">
        <f t="shared" si="13"/>
        <v>66</v>
      </c>
      <c r="K48" s="771"/>
    </row>
    <row r="49" spans="1:11" ht="21.75" customHeight="1">
      <c r="A49" s="810">
        <v>6.15</v>
      </c>
      <c r="B49" s="800" t="s">
        <v>901</v>
      </c>
      <c r="C49" s="801"/>
      <c r="D49" s="798">
        <v>1</v>
      </c>
      <c r="E49" s="772" t="s">
        <v>195</v>
      </c>
      <c r="F49" s="811">
        <v>105</v>
      </c>
      <c r="G49" s="773">
        <f t="shared" si="14"/>
        <v>105</v>
      </c>
      <c r="H49" s="811"/>
      <c r="I49" s="811"/>
      <c r="J49" s="774">
        <f t="shared" si="13"/>
        <v>105</v>
      </c>
      <c r="K49" s="771"/>
    </row>
    <row r="50" spans="1:11" ht="21.75" customHeight="1">
      <c r="A50" s="810">
        <v>6.16</v>
      </c>
      <c r="B50" s="800" t="s">
        <v>902</v>
      </c>
      <c r="C50" s="801"/>
      <c r="D50" s="798">
        <v>1</v>
      </c>
      <c r="E50" s="799" t="s">
        <v>195</v>
      </c>
      <c r="F50" s="773">
        <v>280</v>
      </c>
      <c r="G50" s="773">
        <f t="shared" si="14"/>
        <v>280</v>
      </c>
      <c r="H50" s="773"/>
      <c r="I50" s="773"/>
      <c r="J50" s="774">
        <f t="shared" si="13"/>
        <v>280</v>
      </c>
      <c r="K50" s="771"/>
    </row>
    <row r="51" spans="1:11" ht="21.75" customHeight="1">
      <c r="A51" s="810">
        <v>6.17</v>
      </c>
      <c r="B51" s="800" t="s">
        <v>367</v>
      </c>
      <c r="C51" s="801"/>
      <c r="D51" s="798">
        <v>12</v>
      </c>
      <c r="E51" s="799" t="s">
        <v>210</v>
      </c>
      <c r="F51" s="773">
        <v>12</v>
      </c>
      <c r="G51" s="773">
        <f t="shared" si="14"/>
        <v>144</v>
      </c>
      <c r="H51" s="773"/>
      <c r="I51" s="773"/>
      <c r="J51" s="774">
        <f t="shared" si="13"/>
        <v>144</v>
      </c>
      <c r="K51" s="830"/>
    </row>
    <row r="52" spans="1:11" ht="21.75" customHeight="1">
      <c r="A52" s="795"/>
      <c r="B52" s="796" t="s">
        <v>903</v>
      </c>
      <c r="C52" s="797"/>
      <c r="D52" s="798"/>
      <c r="E52" s="799"/>
      <c r="F52" s="773"/>
      <c r="G52" s="773"/>
      <c r="H52" s="773"/>
      <c r="I52" s="773"/>
      <c r="J52" s="774"/>
      <c r="K52" s="771"/>
    </row>
    <row r="53" spans="1:11" ht="21.75" customHeight="1">
      <c r="A53" s="795">
        <v>7.1</v>
      </c>
      <c r="B53" s="800" t="s">
        <v>904</v>
      </c>
      <c r="C53" s="801"/>
      <c r="D53" s="798">
        <v>4</v>
      </c>
      <c r="E53" s="799" t="s">
        <v>83</v>
      </c>
      <c r="F53" s="773">
        <v>52</v>
      </c>
      <c r="G53" s="773">
        <f>D53*F53</f>
        <v>208</v>
      </c>
      <c r="H53" s="773">
        <v>70</v>
      </c>
      <c r="I53" s="773">
        <f>D53*H53</f>
        <v>280</v>
      </c>
      <c r="J53" s="774">
        <f t="shared" ref="J53:J59" si="15">SUM(G53,I53)</f>
        <v>488</v>
      </c>
      <c r="K53" s="771"/>
    </row>
    <row r="54" spans="1:11" ht="21.75" customHeight="1">
      <c r="A54" s="795"/>
      <c r="B54" s="796"/>
      <c r="C54" s="797"/>
      <c r="D54" s="798"/>
      <c r="E54" s="799"/>
      <c r="F54" s="773"/>
      <c r="G54" s="773"/>
      <c r="H54" s="773"/>
      <c r="I54" s="773"/>
      <c r="J54" s="774"/>
      <c r="K54" s="771"/>
    </row>
    <row r="55" spans="1:11" ht="21.75" customHeight="1">
      <c r="A55" s="782"/>
      <c r="B55" s="783"/>
      <c r="C55" s="784" t="s">
        <v>214</v>
      </c>
      <c r="D55" s="785"/>
      <c r="E55" s="786"/>
      <c r="F55" s="787"/>
      <c r="G55" s="788">
        <f t="shared" ref="G55:J55" si="16">SUM(G40:G54)</f>
        <v>129152</v>
      </c>
      <c r="H55" s="789"/>
      <c r="I55" s="823">
        <f t="shared" si="16"/>
        <v>38075</v>
      </c>
      <c r="J55" s="824">
        <f t="shared" si="16"/>
        <v>167227</v>
      </c>
      <c r="K55" s="821"/>
    </row>
    <row r="56" spans="1:11" ht="21.75" customHeight="1">
      <c r="A56" s="763"/>
      <c r="B56" s="790"/>
      <c r="C56" s="791" t="s">
        <v>216</v>
      </c>
      <c r="D56" s="766"/>
      <c r="E56" s="792"/>
      <c r="F56" s="777"/>
      <c r="G56" s="793">
        <f>G55</f>
        <v>129152</v>
      </c>
      <c r="H56" s="794"/>
      <c r="I56" s="793">
        <f>I55</f>
        <v>38075</v>
      </c>
      <c r="J56" s="825">
        <f t="shared" si="15"/>
        <v>167227</v>
      </c>
      <c r="K56" s="771"/>
    </row>
    <row r="57" spans="1:11" ht="21.75" customHeight="1">
      <c r="A57" s="795"/>
      <c r="B57" s="796" t="s">
        <v>905</v>
      </c>
      <c r="C57" s="797"/>
      <c r="D57" s="798"/>
      <c r="E57" s="799"/>
      <c r="F57" s="773"/>
      <c r="G57" s="773"/>
      <c r="H57" s="773"/>
      <c r="I57" s="773"/>
      <c r="J57" s="774"/>
      <c r="K57" s="771"/>
    </row>
    <row r="58" spans="1:11" ht="21.75" customHeight="1">
      <c r="A58" s="795">
        <v>8.1</v>
      </c>
      <c r="B58" s="800" t="s">
        <v>906</v>
      </c>
      <c r="C58" s="801"/>
      <c r="D58" s="798">
        <v>4</v>
      </c>
      <c r="E58" s="799" t="s">
        <v>83</v>
      </c>
      <c r="F58" s="773">
        <v>40</v>
      </c>
      <c r="G58" s="773">
        <f t="shared" ref="G58:G66" si="17">D58*F58</f>
        <v>160</v>
      </c>
      <c r="H58" s="773">
        <v>40</v>
      </c>
      <c r="I58" s="773">
        <f t="shared" ref="I58:I63" si="18">D58*H58</f>
        <v>160</v>
      </c>
      <c r="J58" s="774">
        <f t="shared" si="15"/>
        <v>320</v>
      </c>
      <c r="K58" s="771"/>
    </row>
    <row r="59" spans="1:11" ht="21.75" customHeight="1">
      <c r="A59" s="795">
        <v>8.1999999999999993</v>
      </c>
      <c r="B59" s="800" t="s">
        <v>907</v>
      </c>
      <c r="C59" s="801"/>
      <c r="D59" s="798">
        <v>75</v>
      </c>
      <c r="E59" s="799" t="s">
        <v>83</v>
      </c>
      <c r="F59" s="778">
        <v>45</v>
      </c>
      <c r="G59" s="773">
        <f t="shared" si="17"/>
        <v>3375</v>
      </c>
      <c r="H59" s="773">
        <v>40</v>
      </c>
      <c r="I59" s="773">
        <f t="shared" si="18"/>
        <v>3000</v>
      </c>
      <c r="J59" s="827">
        <f t="shared" si="15"/>
        <v>6375</v>
      </c>
      <c r="K59" s="771"/>
    </row>
    <row r="60" spans="1:11" ht="21.75" customHeight="1">
      <c r="A60" s="795"/>
      <c r="B60" s="796" t="s">
        <v>456</v>
      </c>
      <c r="C60" s="797"/>
      <c r="D60" s="798"/>
      <c r="E60" s="799"/>
      <c r="F60" s="773"/>
      <c r="G60" s="773"/>
      <c r="H60" s="773"/>
      <c r="I60" s="773"/>
      <c r="J60" s="801"/>
      <c r="K60" s="771"/>
    </row>
    <row r="61" spans="1:11" ht="21.75" customHeight="1">
      <c r="A61" s="795">
        <v>9.1</v>
      </c>
      <c r="B61" s="800" t="s">
        <v>908</v>
      </c>
      <c r="C61" s="797"/>
      <c r="D61" s="798">
        <v>24</v>
      </c>
      <c r="E61" s="799" t="s">
        <v>73</v>
      </c>
      <c r="F61" s="773">
        <v>740</v>
      </c>
      <c r="G61" s="773">
        <f t="shared" si="17"/>
        <v>17760</v>
      </c>
      <c r="H61" s="773">
        <v>72</v>
      </c>
      <c r="I61" s="773">
        <f t="shared" si="18"/>
        <v>1728</v>
      </c>
      <c r="J61" s="774">
        <f t="shared" ref="J61:J66" si="19">SUM(G61,I61)</f>
        <v>19488</v>
      </c>
      <c r="K61" s="771"/>
    </row>
    <row r="62" spans="1:11" ht="21.75" customHeight="1">
      <c r="A62" s="795">
        <v>9.1999999999999993</v>
      </c>
      <c r="B62" s="800" t="s">
        <v>909</v>
      </c>
      <c r="C62" s="797"/>
      <c r="D62" s="798">
        <v>4</v>
      </c>
      <c r="E62" s="799" t="s">
        <v>457</v>
      </c>
      <c r="F62" s="773">
        <v>12000</v>
      </c>
      <c r="G62" s="773">
        <f t="shared" si="17"/>
        <v>48000</v>
      </c>
      <c r="H62" s="773">
        <v>500</v>
      </c>
      <c r="I62" s="773">
        <f t="shared" si="18"/>
        <v>2000</v>
      </c>
      <c r="J62" s="774">
        <f t="shared" si="19"/>
        <v>50000</v>
      </c>
      <c r="K62" s="771"/>
    </row>
    <row r="63" spans="1:11" ht="21.75" customHeight="1">
      <c r="A63" s="795">
        <v>9.3000000000000007</v>
      </c>
      <c r="B63" s="800" t="s">
        <v>910</v>
      </c>
      <c r="C63" s="797"/>
      <c r="D63" s="798">
        <v>144</v>
      </c>
      <c r="E63" s="799" t="s">
        <v>195</v>
      </c>
      <c r="F63" s="773">
        <v>8</v>
      </c>
      <c r="G63" s="773">
        <f t="shared" si="17"/>
        <v>1152</v>
      </c>
      <c r="H63" s="773"/>
      <c r="I63" s="773">
        <f t="shared" si="18"/>
        <v>0</v>
      </c>
      <c r="J63" s="774">
        <f t="shared" si="19"/>
        <v>1152</v>
      </c>
      <c r="K63" s="771"/>
    </row>
    <row r="64" spans="1:11" ht="21.75" customHeight="1">
      <c r="A64" s="795">
        <v>9.4</v>
      </c>
      <c r="B64" s="800" t="s">
        <v>911</v>
      </c>
      <c r="C64" s="797"/>
      <c r="D64" s="798">
        <v>1</v>
      </c>
      <c r="E64" s="799" t="s">
        <v>458</v>
      </c>
      <c r="F64" s="773">
        <v>5500</v>
      </c>
      <c r="G64" s="773">
        <f t="shared" si="17"/>
        <v>5500</v>
      </c>
      <c r="H64" s="773"/>
      <c r="I64" s="773"/>
      <c r="J64" s="774">
        <f t="shared" si="19"/>
        <v>5500</v>
      </c>
      <c r="K64" s="771"/>
    </row>
    <row r="65" spans="1:11" ht="21.75" customHeight="1">
      <c r="A65" s="795">
        <v>9.5</v>
      </c>
      <c r="B65" s="800" t="s">
        <v>912</v>
      </c>
      <c r="C65" s="801"/>
      <c r="D65" s="798">
        <v>1</v>
      </c>
      <c r="E65" s="799" t="s">
        <v>212</v>
      </c>
      <c r="F65" s="773">
        <v>7500</v>
      </c>
      <c r="G65" s="773">
        <f t="shared" si="17"/>
        <v>7500</v>
      </c>
      <c r="H65" s="773">
        <v>1000</v>
      </c>
      <c r="I65" s="773">
        <f t="shared" ref="I65:I68" si="20">D65*H65</f>
        <v>1000</v>
      </c>
      <c r="J65" s="774">
        <f t="shared" si="19"/>
        <v>8500</v>
      </c>
      <c r="K65" s="771"/>
    </row>
    <row r="66" spans="1:11" ht="21.75" customHeight="1">
      <c r="A66" s="795">
        <v>9.6</v>
      </c>
      <c r="B66" s="800" t="s">
        <v>913</v>
      </c>
      <c r="C66" s="801"/>
      <c r="D66" s="798">
        <v>1</v>
      </c>
      <c r="E66" s="799" t="s">
        <v>212</v>
      </c>
      <c r="F66" s="773">
        <v>3500</v>
      </c>
      <c r="G66" s="773">
        <f t="shared" si="17"/>
        <v>3500</v>
      </c>
      <c r="H66" s="773">
        <v>500</v>
      </c>
      <c r="I66" s="773">
        <f t="shared" si="20"/>
        <v>500</v>
      </c>
      <c r="J66" s="774">
        <f t="shared" si="19"/>
        <v>4000</v>
      </c>
      <c r="K66" s="771"/>
    </row>
    <row r="67" spans="1:11" ht="21.75" customHeight="1">
      <c r="A67" s="795"/>
      <c r="B67" s="800" t="s">
        <v>459</v>
      </c>
      <c r="C67" s="812"/>
      <c r="D67" s="798"/>
      <c r="E67" s="799"/>
      <c r="F67" s="773"/>
      <c r="G67" s="773"/>
      <c r="H67" s="773"/>
      <c r="I67" s="773"/>
      <c r="J67" s="774"/>
      <c r="K67" s="771"/>
    </row>
    <row r="68" spans="1:11" ht="21.75" customHeight="1">
      <c r="A68" s="795">
        <v>10.1</v>
      </c>
      <c r="B68" s="800" t="s">
        <v>479</v>
      </c>
      <c r="C68" s="801"/>
      <c r="D68" s="798">
        <v>36</v>
      </c>
      <c r="E68" s="799" t="s">
        <v>78</v>
      </c>
      <c r="F68" s="773">
        <v>430</v>
      </c>
      <c r="G68" s="773">
        <f>D68*F68</f>
        <v>15480</v>
      </c>
      <c r="H68" s="773">
        <v>240</v>
      </c>
      <c r="I68" s="773">
        <f t="shared" si="20"/>
        <v>8640</v>
      </c>
      <c r="J68" s="774">
        <f>SUM(G68,I68)</f>
        <v>24120</v>
      </c>
      <c r="K68" s="771"/>
    </row>
    <row r="69" spans="1:11" ht="21.75" customHeight="1">
      <c r="A69" s="763"/>
      <c r="B69" s="731" t="s">
        <v>480</v>
      </c>
      <c r="C69" s="831"/>
      <c r="D69" s="832"/>
      <c r="E69" s="833"/>
      <c r="F69" s="834"/>
      <c r="G69" s="835"/>
      <c r="H69" s="835"/>
      <c r="I69" s="835"/>
      <c r="J69" s="822"/>
      <c r="K69" s="771"/>
    </row>
    <row r="70" spans="1:11" ht="21.75" customHeight="1">
      <c r="A70" s="836"/>
      <c r="B70" s="837"/>
      <c r="C70" s="838" t="s">
        <v>397</v>
      </c>
      <c r="D70" s="839"/>
      <c r="E70" s="840"/>
      <c r="F70" s="841"/>
      <c r="G70" s="842">
        <f t="shared" ref="G70:J70" si="21">SUM(G56:G69)</f>
        <v>231579</v>
      </c>
      <c r="H70" s="843"/>
      <c r="I70" s="842">
        <f t="shared" si="21"/>
        <v>55103</v>
      </c>
      <c r="J70" s="848">
        <f t="shared" si="21"/>
        <v>286682</v>
      </c>
      <c r="K70" s="849"/>
    </row>
    <row r="71" spans="1:11" ht="21.75" customHeight="1">
      <c r="A71" s="756"/>
      <c r="B71" s="844"/>
      <c r="C71" s="784" t="s">
        <v>398</v>
      </c>
      <c r="D71" s="845"/>
      <c r="E71" s="758"/>
      <c r="F71" s="846"/>
      <c r="G71" s="828">
        <f>ROUNDDOWN(G70,-3)</f>
        <v>231000</v>
      </c>
      <c r="H71" s="847"/>
      <c r="I71" s="828">
        <f>ROUNDDOWN(I70,-3)</f>
        <v>55000</v>
      </c>
      <c r="J71" s="828">
        <f>ROUNDDOWN(J70,-2)</f>
        <v>286600</v>
      </c>
      <c r="K71" s="829"/>
    </row>
    <row r="72" spans="1:11" ht="4.5" customHeight="1"/>
    <row r="73" spans="1:11" ht="21.75" customHeight="1"/>
    <row r="74" spans="1:11" ht="21.75" customHeight="1"/>
    <row r="75" spans="1:11" ht="21.75" customHeight="1"/>
    <row r="76" spans="1:11" ht="21.75" customHeight="1"/>
    <row r="77" spans="1:11" ht="21.75" customHeight="1"/>
    <row r="78" spans="1:11" ht="21.75" customHeight="1"/>
    <row r="79" spans="1:11" ht="21.75" customHeight="1"/>
    <row r="80" spans="1:11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  <row r="108" ht="21.75" customHeight="1"/>
    <row r="109" ht="21.75" customHeight="1"/>
    <row r="110" ht="21.75" customHeight="1"/>
    <row r="111" ht="21.75" customHeight="1"/>
    <row r="112" ht="21.75" customHeight="1"/>
    <row r="113" ht="21.75" customHeight="1"/>
    <row r="114" ht="21.75" customHeight="1"/>
    <row r="115" ht="21.75" customHeight="1"/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</sheetData>
  <printOptions horizontalCentered="1"/>
  <pageMargins left="0.55118110236220497" right="0.39370078740157499" top="0.78740157480314998" bottom="0.78740157480314998" header="0.39370078740157499" footer="0.39370078740157499"/>
  <pageSetup paperSize="9" orientation="landscape" r:id="rId1"/>
  <headerFooter scaleWithDoc="0" alignWithMargins="0">
    <oddHeader>&amp;Rแบบ ปร.4 แผ่นที่ &amp;P/4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FF00"/>
  </sheetPr>
  <dimension ref="A1:R50"/>
  <sheetViews>
    <sheetView view="pageBreakPreview" zoomScaleNormal="100" workbookViewId="0">
      <selection activeCell="F12" sqref="F12"/>
    </sheetView>
  </sheetViews>
  <sheetFormatPr defaultColWidth="8" defaultRowHeight="18"/>
  <cols>
    <col min="1" max="1" width="5.21875" style="336" customWidth="1"/>
    <col min="2" max="2" width="5.44140625" style="336" customWidth="1"/>
    <col min="3" max="3" width="7.21875" style="336" customWidth="1"/>
    <col min="4" max="4" width="16.109375" style="336" customWidth="1"/>
    <col min="5" max="5" width="8.109375" style="336" customWidth="1"/>
    <col min="6" max="6" width="8.6640625" style="336" customWidth="1"/>
    <col min="7" max="7" width="9.33203125" style="336" customWidth="1"/>
    <col min="8" max="8" width="8.6640625" style="336" customWidth="1"/>
    <col min="9" max="9" width="9.21875" style="336" customWidth="1"/>
    <col min="10" max="10" width="8.109375" style="336" customWidth="1"/>
    <col min="11" max="11" width="2.77734375" style="336" customWidth="1"/>
    <col min="12" max="12" width="10.88671875" style="336" customWidth="1"/>
    <col min="13" max="13" width="12.77734375" style="336" customWidth="1"/>
    <col min="14" max="14" width="8.109375" style="336" customWidth="1"/>
    <col min="15" max="15" width="9" style="336" customWidth="1"/>
    <col min="16" max="16" width="8.44140625" style="336" customWidth="1"/>
    <col min="17" max="17" width="7.21875" style="336" customWidth="1"/>
    <col min="18" max="18" width="3.88671875" style="336" customWidth="1"/>
    <col min="19" max="19" width="9.21875" style="336"/>
    <col min="20" max="20" width="3.88671875" style="336" customWidth="1"/>
    <col min="21" max="21" width="6.44140625" style="336" customWidth="1"/>
    <col min="22" max="22" width="3.88671875" style="336" customWidth="1"/>
    <col min="23" max="16384" width="8" style="336"/>
  </cols>
  <sheetData>
    <row r="1" spans="1:15">
      <c r="N1" s="591" t="s">
        <v>914</v>
      </c>
    </row>
    <row r="2" spans="1:15">
      <c r="A2" s="1934" t="s">
        <v>504</v>
      </c>
      <c r="B2" s="1934"/>
      <c r="C2" s="1934"/>
      <c r="D2" s="1973"/>
      <c r="E2" s="1973"/>
      <c r="F2" s="1973"/>
      <c r="G2" s="1973"/>
      <c r="H2" s="1973"/>
      <c r="I2" s="1973"/>
      <c r="J2" s="1973"/>
      <c r="K2" s="1973"/>
      <c r="L2" s="1973"/>
      <c r="M2" s="1973"/>
      <c r="N2" s="1973"/>
    </row>
    <row r="3" spans="1:15">
      <c r="A3" s="592" t="s">
        <v>404</v>
      </c>
      <c r="D3" s="336" t="s">
        <v>505</v>
      </c>
      <c r="E3" s="597"/>
    </row>
    <row r="4" spans="1:15">
      <c r="A4" s="592" t="s">
        <v>405</v>
      </c>
      <c r="D4" s="336" t="str">
        <f>'ปร4 โครงสร้างหอถัง'!D3</f>
        <v xml:space="preserve">ก่อสร้างระบบประปาหมู่บ้านแบบบาดาลพร้อมหอถังสูง พร้อมเจาะบ่อบาดาล  </v>
      </c>
      <c r="H4" s="337"/>
      <c r="J4" s="337"/>
      <c r="K4" s="337"/>
      <c r="L4" s="710"/>
      <c r="M4" s="337"/>
    </row>
    <row r="5" spans="1:15">
      <c r="A5" s="592" t="s">
        <v>406</v>
      </c>
      <c r="B5" s="597"/>
      <c r="C5" s="597"/>
      <c r="D5" s="597" t="str">
        <f>'[75]ปร4 โครงสร้าง'!D6</f>
        <v>หมู่ที่ 1 บ้านเชียงดา</v>
      </c>
      <c r="E5" s="597"/>
      <c r="J5" s="597"/>
      <c r="K5" s="597"/>
      <c r="L5" s="597"/>
      <c r="M5" s="597"/>
      <c r="N5" s="597"/>
    </row>
    <row r="6" spans="1:15">
      <c r="A6" s="592" t="s">
        <v>407</v>
      </c>
      <c r="D6" s="336" t="str">
        <f>'ปร4 โครงสร้างหอถัง'!D6</f>
        <v xml:space="preserve">อบต.ชด.สส. 10/2567      </v>
      </c>
      <c r="E6" s="672" t="s">
        <v>424</v>
      </c>
    </row>
    <row r="7" spans="1:15">
      <c r="A7" s="592" t="s">
        <v>408</v>
      </c>
      <c r="D7" s="336" t="s">
        <v>425</v>
      </c>
    </row>
    <row r="8" spans="1:15">
      <c r="A8" s="594" t="str">
        <f>'ปร4 โครงสร้างหอถัง'!A8</f>
        <v xml:space="preserve">ประมาณราคาวันที่  </v>
      </c>
      <c r="D8" s="336" t="str">
        <f>'ปร4 โครงสร้างหอถัง'!D8</f>
        <v xml:space="preserve">  1   เดือน เมษายน พ.ศ.2568</v>
      </c>
      <c r="H8" s="673" t="s">
        <v>426</v>
      </c>
      <c r="N8" s="336" t="s">
        <v>427</v>
      </c>
    </row>
    <row r="9" spans="1:15">
      <c r="A9" s="1979" t="s">
        <v>310</v>
      </c>
      <c r="B9" s="1991" t="s">
        <v>96</v>
      </c>
      <c r="C9" s="1992"/>
      <c r="D9" s="1992"/>
      <c r="E9" s="1992"/>
      <c r="F9" s="1995" t="s">
        <v>179</v>
      </c>
      <c r="G9" s="1991" t="s">
        <v>11</v>
      </c>
      <c r="H9" s="1974" t="s">
        <v>107</v>
      </c>
      <c r="I9" s="1975"/>
      <c r="J9" s="1974" t="s">
        <v>394</v>
      </c>
      <c r="K9" s="1976"/>
      <c r="L9" s="1975"/>
      <c r="M9" s="711" t="s">
        <v>109</v>
      </c>
      <c r="N9" s="1981" t="s">
        <v>100</v>
      </c>
    </row>
    <row r="10" spans="1:15">
      <c r="A10" s="1980"/>
      <c r="B10" s="1993"/>
      <c r="C10" s="1994"/>
      <c r="D10" s="1994"/>
      <c r="E10" s="1994"/>
      <c r="F10" s="1996"/>
      <c r="G10" s="1993"/>
      <c r="H10" s="316" t="s">
        <v>180</v>
      </c>
      <c r="I10" s="316" t="s">
        <v>428</v>
      </c>
      <c r="J10" s="1977" t="s">
        <v>180</v>
      </c>
      <c r="K10" s="1978"/>
      <c r="L10" s="316" t="s">
        <v>319</v>
      </c>
      <c r="M10" s="316" t="s">
        <v>429</v>
      </c>
      <c r="N10" s="1982"/>
    </row>
    <row r="11" spans="1:15">
      <c r="A11" s="623">
        <v>2</v>
      </c>
      <c r="B11" s="139" t="s">
        <v>506</v>
      </c>
      <c r="C11" s="674"/>
      <c r="D11" s="674"/>
      <c r="E11" s="675"/>
      <c r="F11" s="674"/>
      <c r="G11" s="676"/>
      <c r="H11" s="677"/>
      <c r="I11" s="677"/>
      <c r="J11" s="712"/>
      <c r="K11" s="713"/>
      <c r="L11" s="677"/>
      <c r="M11" s="677"/>
      <c r="N11" s="714"/>
      <c r="O11" s="336" t="s">
        <v>915</v>
      </c>
    </row>
    <row r="12" spans="1:15">
      <c r="A12" s="82"/>
      <c r="B12" s="146" t="s">
        <v>916</v>
      </c>
      <c r="C12" s="678"/>
      <c r="D12" s="678"/>
      <c r="E12" s="679"/>
      <c r="F12" s="678"/>
      <c r="G12" s="680"/>
      <c r="H12" s="327"/>
      <c r="I12" s="327"/>
      <c r="J12" s="625"/>
      <c r="K12" s="625"/>
      <c r="L12" s="327"/>
      <c r="M12" s="327"/>
      <c r="N12" s="344"/>
      <c r="O12" s="336" t="s">
        <v>917</v>
      </c>
    </row>
    <row r="13" spans="1:15">
      <c r="A13" s="623"/>
      <c r="B13" s="626" t="s">
        <v>918</v>
      </c>
      <c r="C13" s="674"/>
      <c r="D13" s="674"/>
      <c r="E13" s="675"/>
      <c r="F13" s="681">
        <v>8</v>
      </c>
      <c r="G13" s="682" t="s">
        <v>212</v>
      </c>
      <c r="H13" s="683">
        <v>1448</v>
      </c>
      <c r="I13" s="715">
        <f>SUM(H13*F13)</f>
        <v>11584</v>
      </c>
      <c r="J13" s="2080">
        <v>400</v>
      </c>
      <c r="K13" s="2080"/>
      <c r="L13" s="715">
        <f>F13*J13</f>
        <v>3200</v>
      </c>
      <c r="M13" s="715">
        <f>L13+I13</f>
        <v>14784</v>
      </c>
      <c r="N13" s="716"/>
    </row>
    <row r="14" spans="1:15">
      <c r="A14" s="684"/>
      <c r="B14" s="2081"/>
      <c r="C14" s="2081"/>
      <c r="D14" s="2081"/>
      <c r="E14" s="2081"/>
      <c r="F14" s="685"/>
      <c r="G14" s="686"/>
      <c r="H14" s="685"/>
      <c r="I14" s="685"/>
      <c r="J14" s="717" t="s">
        <v>513</v>
      </c>
      <c r="K14" s="718"/>
      <c r="L14" s="719"/>
      <c r="M14" s="720">
        <f>SUM(M13:M13)</f>
        <v>14784</v>
      </c>
      <c r="N14" s="721" t="s">
        <v>445</v>
      </c>
      <c r="O14" s="722">
        <f>'ปร6 (อาร์ม)'!G16</f>
        <v>522176.760726023</v>
      </c>
    </row>
    <row r="15" spans="1:15">
      <c r="A15" s="687" t="s">
        <v>460</v>
      </c>
      <c r="B15" s="2082"/>
      <c r="C15" s="2082"/>
      <c r="D15" s="2082"/>
      <c r="E15" s="2082"/>
      <c r="F15" s="688"/>
      <c r="G15" s="689"/>
      <c r="H15" s="688"/>
      <c r="I15" s="688"/>
      <c r="J15" s="688"/>
      <c r="K15" s="688"/>
      <c r="L15" s="688"/>
      <c r="M15" s="341" t="str">
        <f>"("&amp;BAHTTEXT(M14)&amp;")"</f>
        <v>(หนึ่งหมื่นสี่พันเจ็ดร้อยแปดสิบสี่บาทถ้วน)</v>
      </c>
    </row>
    <row r="16" spans="1:15">
      <c r="A16" s="687"/>
      <c r="B16" s="690"/>
      <c r="C16" s="690"/>
      <c r="F16" s="688"/>
      <c r="G16" s="691"/>
      <c r="H16" s="688"/>
      <c r="I16" s="688"/>
      <c r="J16" s="688"/>
      <c r="K16" s="688"/>
      <c r="L16" s="688"/>
      <c r="M16" s="688"/>
    </row>
    <row r="17" spans="1:17">
      <c r="M17" s="688"/>
      <c r="N17" s="596"/>
    </row>
    <row r="18" spans="1:17">
      <c r="N18" s="596"/>
    </row>
    <row r="19" spans="1:17">
      <c r="N19" s="596"/>
    </row>
    <row r="20" spans="1:17">
      <c r="N20" s="596"/>
    </row>
    <row r="21" spans="1:17">
      <c r="N21" s="596"/>
    </row>
    <row r="22" spans="1:17">
      <c r="A22" s="336" t="e">
        <f>#REF!</f>
        <v>#REF!</v>
      </c>
      <c r="M22" s="596" t="s">
        <v>461</v>
      </c>
      <c r="N22" s="723"/>
    </row>
    <row r="23" spans="1:17">
      <c r="A23" s="692" t="e">
        <f>#REF!</f>
        <v>#REF!</v>
      </c>
      <c r="B23" s="692"/>
      <c r="C23" s="692"/>
      <c r="D23" s="692"/>
      <c r="E23" s="692"/>
      <c r="F23" s="692"/>
      <c r="G23" s="692"/>
      <c r="H23" s="692"/>
      <c r="I23" s="692"/>
      <c r="J23" s="692"/>
      <c r="K23" s="692"/>
      <c r="L23" s="692"/>
      <c r="N23" s="724"/>
    </row>
    <row r="24" spans="1:17">
      <c r="A24" s="692" t="e">
        <f>#REF!</f>
        <v>#REF!</v>
      </c>
      <c r="B24" s="692"/>
      <c r="C24" s="692"/>
      <c r="D24" s="692" t="s">
        <v>462</v>
      </c>
      <c r="E24" s="692"/>
      <c r="F24" s="692"/>
      <c r="G24" s="692"/>
      <c r="H24" s="692"/>
      <c r="I24" s="692"/>
      <c r="J24" s="692"/>
      <c r="K24" s="692"/>
      <c r="L24" s="692"/>
      <c r="M24" s="692"/>
      <c r="N24" s="724"/>
    </row>
    <row r="25" spans="1:17">
      <c r="A25" s="692" t="e">
        <f>#REF!</f>
        <v>#REF!</v>
      </c>
      <c r="B25" s="692"/>
      <c r="C25" s="692"/>
      <c r="D25" s="692"/>
      <c r="E25" s="692"/>
      <c r="F25" s="692"/>
      <c r="G25" s="692"/>
      <c r="H25" s="693"/>
      <c r="I25" s="692"/>
      <c r="J25" s="692"/>
      <c r="K25" s="692"/>
      <c r="L25" s="692"/>
      <c r="M25" s="692"/>
      <c r="N25" s="692"/>
    </row>
    <row r="26" spans="1:17">
      <c r="A26" s="692" t="str">
        <f>A8</f>
        <v xml:space="preserve">ประมาณราคาวันที่  </v>
      </c>
      <c r="B26" s="692"/>
      <c r="C26" s="692"/>
      <c r="D26" s="692"/>
      <c r="E26" s="692"/>
      <c r="F26" s="692"/>
      <c r="G26" s="692"/>
      <c r="H26" s="692"/>
      <c r="I26" s="692"/>
      <c r="J26" s="692" t="e">
        <f>#REF!</f>
        <v>#REF!</v>
      </c>
      <c r="K26" s="692"/>
      <c r="L26" s="692"/>
      <c r="M26" s="692"/>
      <c r="N26" s="692"/>
    </row>
    <row r="27" spans="1:17">
      <c r="M27" s="692"/>
      <c r="N27" s="336" t="e">
        <f>#REF!</f>
        <v>#REF!</v>
      </c>
    </row>
    <row r="28" spans="1:17">
      <c r="A28" s="1989" t="s">
        <v>310</v>
      </c>
      <c r="B28" s="694"/>
      <c r="C28" s="694"/>
      <c r="D28" s="1989" t="s">
        <v>96</v>
      </c>
      <c r="E28" s="694"/>
      <c r="F28" s="1989" t="s">
        <v>179</v>
      </c>
      <c r="G28" s="694"/>
      <c r="H28" s="2004" t="s">
        <v>107</v>
      </c>
      <c r="I28" s="2005"/>
      <c r="J28" s="2004" t="s">
        <v>394</v>
      </c>
      <c r="K28" s="2006"/>
      <c r="L28" s="2005"/>
      <c r="N28" s="1989" t="s">
        <v>100</v>
      </c>
    </row>
    <row r="29" spans="1:17">
      <c r="A29" s="1990"/>
      <c r="B29" s="695"/>
      <c r="C29" s="695"/>
      <c r="D29" s="1990"/>
      <c r="E29" s="695"/>
      <c r="F29" s="1990"/>
      <c r="G29" s="695"/>
      <c r="H29" s="696" t="s">
        <v>180</v>
      </c>
      <c r="I29" s="696" t="s">
        <v>319</v>
      </c>
      <c r="J29" s="696" t="s">
        <v>180</v>
      </c>
      <c r="K29" s="696"/>
      <c r="L29" s="696" t="s">
        <v>319</v>
      </c>
      <c r="M29" s="725" t="s">
        <v>109</v>
      </c>
      <c r="N29" s="1990"/>
    </row>
    <row r="30" spans="1:17">
      <c r="A30" s="697"/>
      <c r="B30" s="697"/>
      <c r="C30" s="697"/>
      <c r="D30" s="698" t="s">
        <v>446</v>
      </c>
      <c r="E30" s="698"/>
      <c r="F30" s="697"/>
      <c r="G30" s="697"/>
      <c r="H30" s="699"/>
      <c r="I30" s="699"/>
      <c r="J30" s="699"/>
      <c r="K30" s="699"/>
      <c r="L30" s="699"/>
      <c r="M30" s="696" t="s">
        <v>429</v>
      </c>
      <c r="N30" s="697"/>
    </row>
    <row r="31" spans="1:17">
      <c r="A31" s="700"/>
      <c r="B31" s="700"/>
      <c r="C31" s="700"/>
      <c r="D31" s="660" t="s">
        <v>463</v>
      </c>
      <c r="E31" s="660"/>
      <c r="F31" s="650">
        <v>4.75</v>
      </c>
      <c r="G31" s="650"/>
      <c r="H31" s="650">
        <v>364</v>
      </c>
      <c r="I31" s="650">
        <f t="shared" ref="I31:I37" si="0">$F31*H31</f>
        <v>1729</v>
      </c>
      <c r="J31" s="650">
        <v>91</v>
      </c>
      <c r="K31" s="650"/>
      <c r="L31" s="650">
        <f t="shared" ref="L31:L38" si="1">$F31*J31</f>
        <v>432.25</v>
      </c>
      <c r="M31" s="726" t="e">
        <f>#REF!</f>
        <v>#REF!</v>
      </c>
      <c r="N31" s="660"/>
    </row>
    <row r="32" spans="1:17">
      <c r="A32" s="700"/>
      <c r="B32" s="700"/>
      <c r="C32" s="700"/>
      <c r="D32" s="660" t="s">
        <v>464</v>
      </c>
      <c r="E32" s="701"/>
      <c r="F32" s="702"/>
      <c r="G32" s="702"/>
      <c r="H32" s="702"/>
      <c r="I32" s="702"/>
      <c r="J32" s="702"/>
      <c r="K32" s="702"/>
      <c r="L32" s="702"/>
      <c r="M32" s="650">
        <f t="shared" ref="M32:M38" si="2">I31+L31</f>
        <v>2161.25</v>
      </c>
      <c r="N32" s="660"/>
      <c r="P32" s="336" t="s">
        <v>465</v>
      </c>
      <c r="Q32" s="336" t="s">
        <v>466</v>
      </c>
    </row>
    <row r="33" spans="1:18">
      <c r="A33" s="700"/>
      <c r="B33" s="700"/>
      <c r="C33" s="700"/>
      <c r="D33" s="660" t="s">
        <v>467</v>
      </c>
      <c r="E33" s="660"/>
      <c r="F33" s="650">
        <v>14</v>
      </c>
      <c r="G33" s="650"/>
      <c r="H33" s="650">
        <v>793.15</v>
      </c>
      <c r="I33" s="650">
        <f t="shared" si="0"/>
        <v>11104.1</v>
      </c>
      <c r="J33" s="650">
        <v>0</v>
      </c>
      <c r="K33" s="650"/>
      <c r="L33" s="650">
        <f t="shared" si="1"/>
        <v>0</v>
      </c>
      <c r="M33" s="702"/>
      <c r="N33" s="660"/>
      <c r="P33" s="691">
        <v>42</v>
      </c>
      <c r="Q33" s="691">
        <f t="shared" ref="Q33:Q40" si="3">F33*P33</f>
        <v>588</v>
      </c>
      <c r="R33" s="691"/>
    </row>
    <row r="34" spans="1:18">
      <c r="A34" s="700"/>
      <c r="B34" s="700"/>
      <c r="C34" s="700"/>
      <c r="D34" s="660" t="s">
        <v>468</v>
      </c>
      <c r="E34" s="660"/>
      <c r="F34" s="650">
        <v>42</v>
      </c>
      <c r="G34" s="650"/>
      <c r="H34" s="650">
        <v>144</v>
      </c>
      <c r="I34" s="650">
        <f t="shared" si="0"/>
        <v>6048</v>
      </c>
      <c r="J34" s="650">
        <v>0</v>
      </c>
      <c r="K34" s="650"/>
      <c r="L34" s="650">
        <f t="shared" si="1"/>
        <v>0</v>
      </c>
      <c r="M34" s="650">
        <f t="shared" si="2"/>
        <v>11104.1</v>
      </c>
      <c r="N34" s="660"/>
      <c r="P34" s="691">
        <v>31</v>
      </c>
      <c r="Q34" s="691">
        <f t="shared" si="3"/>
        <v>1302</v>
      </c>
      <c r="R34" s="691"/>
    </row>
    <row r="35" spans="1:18">
      <c r="A35" s="703"/>
      <c r="B35" s="703"/>
      <c r="C35" s="703"/>
      <c r="D35" s="660" t="s">
        <v>469</v>
      </c>
      <c r="E35" s="660"/>
      <c r="F35" s="650">
        <v>22</v>
      </c>
      <c r="G35" s="650"/>
      <c r="H35" s="650">
        <v>160</v>
      </c>
      <c r="I35" s="650">
        <f t="shared" si="0"/>
        <v>3520</v>
      </c>
      <c r="J35" s="650">
        <v>0</v>
      </c>
      <c r="K35" s="650"/>
      <c r="L35" s="650">
        <f t="shared" si="1"/>
        <v>0</v>
      </c>
      <c r="M35" s="650">
        <f t="shared" si="2"/>
        <v>6048</v>
      </c>
      <c r="N35" s="701"/>
      <c r="P35" s="691">
        <v>30</v>
      </c>
      <c r="Q35" s="691">
        <f t="shared" si="3"/>
        <v>660</v>
      </c>
      <c r="R35" s="691"/>
    </row>
    <row r="36" spans="1:18">
      <c r="A36" s="703"/>
      <c r="B36" s="703"/>
      <c r="C36" s="703"/>
      <c r="D36" s="660" t="s">
        <v>470</v>
      </c>
      <c r="E36" s="660"/>
      <c r="F36" s="650">
        <v>750</v>
      </c>
      <c r="G36" s="650"/>
      <c r="H36" s="650">
        <v>0</v>
      </c>
      <c r="I36" s="650">
        <f t="shared" si="0"/>
        <v>0</v>
      </c>
      <c r="J36" s="650">
        <v>10</v>
      </c>
      <c r="K36" s="650"/>
      <c r="L36" s="650">
        <f t="shared" si="1"/>
        <v>7500</v>
      </c>
      <c r="M36" s="650">
        <f t="shared" si="2"/>
        <v>3520</v>
      </c>
      <c r="N36" s="701"/>
      <c r="P36" s="691">
        <v>25</v>
      </c>
      <c r="Q36" s="691">
        <f t="shared" si="3"/>
        <v>18750</v>
      </c>
      <c r="R36" s="691"/>
    </row>
    <row r="37" spans="1:18">
      <c r="A37" s="703"/>
      <c r="B37" s="703"/>
      <c r="C37" s="703"/>
      <c r="D37" s="660" t="s">
        <v>471</v>
      </c>
      <c r="E37" s="660"/>
      <c r="F37" s="650">
        <v>65</v>
      </c>
      <c r="G37" s="650"/>
      <c r="H37" s="650">
        <v>35</v>
      </c>
      <c r="I37" s="650">
        <f t="shared" si="0"/>
        <v>2275</v>
      </c>
      <c r="J37" s="650">
        <v>30</v>
      </c>
      <c r="K37" s="650"/>
      <c r="L37" s="650">
        <f t="shared" si="1"/>
        <v>1950</v>
      </c>
      <c r="M37" s="650">
        <f t="shared" si="2"/>
        <v>7500</v>
      </c>
      <c r="N37" s="701"/>
      <c r="P37" s="691">
        <v>25</v>
      </c>
      <c r="Q37" s="691">
        <f t="shared" si="3"/>
        <v>1625</v>
      </c>
      <c r="R37" s="691"/>
    </row>
    <row r="38" spans="1:18">
      <c r="A38" s="703"/>
      <c r="B38" s="703"/>
      <c r="C38" s="703"/>
      <c r="D38" s="660" t="s">
        <v>472</v>
      </c>
      <c r="E38" s="660"/>
      <c r="F38" s="650">
        <v>36</v>
      </c>
      <c r="G38" s="650"/>
      <c r="H38" s="704">
        <v>0</v>
      </c>
      <c r="I38" s="704">
        <v>0</v>
      </c>
      <c r="J38" s="650">
        <v>500</v>
      </c>
      <c r="K38" s="650"/>
      <c r="L38" s="650">
        <f t="shared" si="1"/>
        <v>18000</v>
      </c>
      <c r="M38" s="650">
        <f t="shared" si="2"/>
        <v>4225</v>
      </c>
      <c r="N38" s="727" t="s">
        <v>473</v>
      </c>
      <c r="P38" s="691">
        <v>33</v>
      </c>
      <c r="Q38" s="691">
        <f t="shared" si="3"/>
        <v>1188</v>
      </c>
      <c r="R38" s="691"/>
    </row>
    <row r="39" spans="1:18">
      <c r="A39" s="703"/>
      <c r="B39" s="703"/>
      <c r="C39" s="703"/>
      <c r="D39" s="660" t="s">
        <v>474</v>
      </c>
      <c r="E39" s="660"/>
      <c r="F39" s="650"/>
      <c r="G39" s="650"/>
      <c r="H39" s="650"/>
      <c r="I39" s="650"/>
      <c r="J39" s="650"/>
      <c r="K39" s="650"/>
      <c r="L39" s="650"/>
      <c r="M39" s="650">
        <f>SUM(L38)</f>
        <v>18000</v>
      </c>
      <c r="N39" s="701"/>
      <c r="P39" s="691">
        <v>24.36</v>
      </c>
      <c r="Q39" s="691">
        <f t="shared" si="3"/>
        <v>0</v>
      </c>
      <c r="R39" s="691"/>
    </row>
    <row r="40" spans="1:18">
      <c r="A40" s="703"/>
      <c r="B40" s="703"/>
      <c r="C40" s="703"/>
      <c r="D40" s="660" t="s">
        <v>475</v>
      </c>
      <c r="E40" s="660"/>
      <c r="F40" s="650">
        <v>14</v>
      </c>
      <c r="G40" s="650"/>
      <c r="H40" s="650">
        <v>1831.46</v>
      </c>
      <c r="I40" s="650">
        <f>SUM(H40*F40)</f>
        <v>25640.44</v>
      </c>
      <c r="J40" s="650">
        <v>306</v>
      </c>
      <c r="K40" s="650"/>
      <c r="L40" s="650">
        <f t="shared" ref="L40:L42" si="4">$F40*J40</f>
        <v>4284</v>
      </c>
      <c r="M40" s="650"/>
      <c r="N40" s="701"/>
      <c r="P40" s="691">
        <v>19.5</v>
      </c>
      <c r="Q40" s="691">
        <f t="shared" si="3"/>
        <v>273</v>
      </c>
      <c r="R40" s="691"/>
    </row>
    <row r="41" spans="1:18">
      <c r="A41" s="703"/>
      <c r="B41" s="703"/>
      <c r="C41" s="703"/>
      <c r="D41" s="660" t="s">
        <v>476</v>
      </c>
      <c r="E41" s="660"/>
      <c r="F41" s="650">
        <v>140</v>
      </c>
      <c r="G41" s="650"/>
      <c r="H41" s="650">
        <v>21</v>
      </c>
      <c r="I41" s="650">
        <f>SUM(H41*F41)</f>
        <v>2940</v>
      </c>
      <c r="J41" s="650">
        <v>5</v>
      </c>
      <c r="K41" s="650"/>
      <c r="L41" s="650">
        <f t="shared" si="4"/>
        <v>700</v>
      </c>
      <c r="M41" s="650">
        <f>I40+L40+SUM(L40+I40)</f>
        <v>59848.88</v>
      </c>
      <c r="N41" s="701"/>
      <c r="P41" s="691" t="s">
        <v>109</v>
      </c>
      <c r="Q41" s="691">
        <f>SUM(Q33:Q40)</f>
        <v>24386</v>
      </c>
      <c r="R41" s="691"/>
    </row>
    <row r="42" spans="1:18">
      <c r="A42" s="703"/>
      <c r="B42" s="703"/>
      <c r="C42" s="703"/>
      <c r="D42" s="660" t="s">
        <v>477</v>
      </c>
      <c r="E42" s="660"/>
      <c r="F42" s="650">
        <v>7</v>
      </c>
      <c r="G42" s="650"/>
      <c r="H42" s="336">
        <v>364.49</v>
      </c>
      <c r="I42" s="650">
        <f>SUM(I43*F42)</f>
        <v>0</v>
      </c>
      <c r="J42" s="650">
        <v>91</v>
      </c>
      <c r="K42" s="650"/>
      <c r="L42" s="650">
        <f t="shared" si="4"/>
        <v>637</v>
      </c>
      <c r="M42" s="650">
        <f>I41+L41+SUM(I41+L41)</f>
        <v>7280</v>
      </c>
      <c r="N42" s="701"/>
      <c r="P42" s="691"/>
      <c r="Q42" s="691"/>
      <c r="R42" s="691"/>
    </row>
    <row r="43" spans="1:18">
      <c r="A43" s="703"/>
      <c r="B43" s="703"/>
      <c r="C43" s="703"/>
      <c r="D43" s="660"/>
      <c r="E43" s="660"/>
      <c r="F43" s="650" t="s">
        <v>478</v>
      </c>
      <c r="G43" s="650"/>
      <c r="H43" s="650"/>
      <c r="I43" s="650"/>
      <c r="J43" s="650"/>
      <c r="K43" s="650"/>
      <c r="L43" s="650"/>
      <c r="M43" s="650">
        <f>I42+L42+SUM(I42+L42)</f>
        <v>1274</v>
      </c>
      <c r="N43" s="701"/>
      <c r="P43" s="336" t="s">
        <v>460</v>
      </c>
    </row>
    <row r="44" spans="1:18">
      <c r="A44" s="703"/>
      <c r="B44" s="703"/>
      <c r="C44" s="703"/>
      <c r="D44" s="660"/>
      <c r="E44" s="660"/>
      <c r="F44" s="650"/>
      <c r="G44" s="650"/>
      <c r="H44" s="650"/>
      <c r="I44" s="650"/>
      <c r="J44" s="650"/>
      <c r="K44" s="650"/>
      <c r="L44" s="650"/>
      <c r="M44" s="650"/>
      <c r="N44" s="701"/>
    </row>
    <row r="45" spans="1:18">
      <c r="A45" s="705"/>
      <c r="B45" s="705"/>
      <c r="C45" s="705"/>
      <c r="D45" s="660"/>
      <c r="E45" s="660"/>
      <c r="F45" s="650"/>
      <c r="G45" s="650"/>
      <c r="H45" s="650"/>
      <c r="I45" s="650"/>
      <c r="J45" s="650"/>
      <c r="K45" s="650"/>
      <c r="L45" s="650"/>
      <c r="M45" s="650"/>
      <c r="N45" s="705"/>
    </row>
    <row r="46" spans="1:18">
      <c r="A46" s="660"/>
      <c r="B46" s="660"/>
      <c r="C46" s="660"/>
      <c r="D46" s="660"/>
      <c r="E46" s="660"/>
      <c r="F46" s="650"/>
      <c r="G46" s="650"/>
      <c r="H46" s="650"/>
      <c r="I46" s="650"/>
      <c r="J46" s="650"/>
      <c r="K46" s="650"/>
      <c r="L46" s="650"/>
      <c r="M46" s="650"/>
      <c r="N46" s="728"/>
    </row>
    <row r="47" spans="1:18">
      <c r="A47" s="706"/>
      <c r="B47" s="706"/>
      <c r="C47" s="706"/>
      <c r="D47" s="707" t="s">
        <v>449</v>
      </c>
      <c r="E47" s="707"/>
      <c r="F47" s="706"/>
      <c r="G47" s="706"/>
      <c r="H47" s="708"/>
      <c r="I47" s="708"/>
      <c r="J47" s="708"/>
      <c r="K47" s="708"/>
      <c r="L47" s="708"/>
      <c r="M47" s="650"/>
      <c r="N47" s="706"/>
    </row>
    <row r="48" spans="1:18" ht="18.75" customHeight="1">
      <c r="D48" s="598"/>
      <c r="E48" s="598"/>
      <c r="H48" s="709"/>
      <c r="I48" s="709"/>
      <c r="J48" s="709"/>
      <c r="K48" s="709"/>
      <c r="L48" s="709"/>
      <c r="M48" s="729" t="e">
        <f>SUM(M31:M47)</f>
        <v>#REF!</v>
      </c>
    </row>
    <row r="49" spans="4:13" ht="18.75" customHeight="1">
      <c r="D49" s="598"/>
      <c r="E49" s="598"/>
      <c r="H49" s="709"/>
      <c r="I49" s="709"/>
      <c r="J49" s="709"/>
      <c r="K49" s="709"/>
      <c r="L49" s="709"/>
      <c r="M49" s="730"/>
    </row>
    <row r="50" spans="4:13">
      <c r="M50" s="730"/>
    </row>
  </sheetData>
  <mergeCells count="18">
    <mergeCell ref="A28:A29"/>
    <mergeCell ref="D28:D29"/>
    <mergeCell ref="F9:F10"/>
    <mergeCell ref="F28:F29"/>
    <mergeCell ref="N28:N29"/>
    <mergeCell ref="B9:E10"/>
    <mergeCell ref="B14:E14"/>
    <mergeCell ref="B15:E15"/>
    <mergeCell ref="H28:I28"/>
    <mergeCell ref="J28:L28"/>
    <mergeCell ref="G9:G10"/>
    <mergeCell ref="A2:N2"/>
    <mergeCell ref="H9:I9"/>
    <mergeCell ref="J9:L9"/>
    <mergeCell ref="J10:K10"/>
    <mergeCell ref="J13:K13"/>
    <mergeCell ref="N9:N10"/>
    <mergeCell ref="A9:A10"/>
  </mergeCells>
  <pageMargins left="1.2986111111111101" right="0.70833333333333304" top="0.156944444444444" bottom="0.74791666666666701" header="0.31458333333333299" footer="0.31458333333333299"/>
  <pageSetup paperSize="9" scale="95" orientation="landscape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AD22D-8FEB-4002-ADB5-0FBA1819FF6A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86C0D-E12C-43BD-A234-8C43CAB2E526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XFC72"/>
  <sheetViews>
    <sheetView showGridLines="0" topLeftCell="A10" workbookViewId="0">
      <pane xSplit="20208" topLeftCell="Q1"/>
      <selection activeCell="O3" sqref="O3"/>
      <selection pane="topRight" activeCell="R3" sqref="R3"/>
    </sheetView>
  </sheetViews>
  <sheetFormatPr defaultColWidth="8" defaultRowHeight="18"/>
  <cols>
    <col min="1" max="1" width="2.33203125" style="125" customWidth="1"/>
    <col min="2" max="2" width="9" style="125" customWidth="1"/>
    <col min="3" max="3" width="23.33203125" style="125" customWidth="1"/>
    <col min="4" max="4" width="8.21875" style="125" customWidth="1"/>
    <col min="5" max="5" width="7.88671875" style="125" customWidth="1"/>
    <col min="6" max="6" width="9.88671875" style="125" customWidth="1"/>
    <col min="7" max="7" width="9.109375" style="125" customWidth="1"/>
    <col min="8" max="8" width="9.5546875" style="125" customWidth="1"/>
    <col min="9" max="9" width="10.109375" style="125" customWidth="1"/>
    <col min="10" max="10" width="9.6640625" style="125" customWidth="1"/>
    <col min="11" max="11" width="9.109375" style="125" customWidth="1"/>
    <col min="12" max="12" width="10.21875" style="125" customWidth="1"/>
    <col min="13" max="13" width="9.33203125" style="125" customWidth="1"/>
    <col min="14" max="14" width="8.6640625" style="125" customWidth="1"/>
    <col min="15" max="15" width="11.44140625" style="125" customWidth="1"/>
    <col min="16" max="16" width="9.6640625" style="125" customWidth="1"/>
    <col min="17" max="17" width="7.6640625" style="126" customWidth="1"/>
    <col min="18" max="18" width="6.77734375" style="125" customWidth="1"/>
    <col min="19" max="19" width="8" style="125"/>
    <col min="20" max="20" width="8" style="125" hidden="1" customWidth="1"/>
    <col min="21" max="38" width="6.6640625" style="125" hidden="1" customWidth="1"/>
    <col min="39" max="39" width="9.33203125" style="125" hidden="1" customWidth="1"/>
    <col min="40" max="40" width="6.6640625" style="125" hidden="1" customWidth="1"/>
    <col min="41" max="41" width="7" style="125" hidden="1" customWidth="1"/>
    <col min="42" max="42" width="8.5546875" style="125" hidden="1" customWidth="1"/>
    <col min="43" max="55" width="8" style="125"/>
    <col min="56" max="56" width="8" style="125" hidden="1" customWidth="1"/>
    <col min="57" max="16383" width="8" style="125"/>
  </cols>
  <sheetData>
    <row r="1" spans="1:56" s="1469" customFormat="1" ht="23.4">
      <c r="A1" s="1857" t="s">
        <v>86</v>
      </c>
      <c r="B1" s="1857"/>
      <c r="C1" s="1857"/>
      <c r="D1" s="1857"/>
      <c r="E1" s="1857"/>
      <c r="F1" s="1857"/>
      <c r="G1" s="1857"/>
      <c r="H1" s="1857"/>
      <c r="I1" s="1857"/>
      <c r="J1" s="1857"/>
      <c r="K1" s="1857"/>
      <c r="L1" s="1857"/>
      <c r="M1" s="1489"/>
      <c r="N1" s="1489"/>
      <c r="O1" s="1489"/>
      <c r="P1" s="1489"/>
      <c r="Q1" s="1507" t="s">
        <v>87</v>
      </c>
      <c r="R1" s="1489"/>
      <c r="S1" s="1489"/>
      <c r="T1" s="1489"/>
      <c r="U1" s="1489"/>
      <c r="V1" s="1489"/>
      <c r="W1" s="1489"/>
      <c r="X1" s="1489"/>
      <c r="Y1" s="1489"/>
      <c r="Z1" s="1489"/>
      <c r="AA1" s="1489"/>
      <c r="AB1" s="1489"/>
      <c r="AC1" s="1489"/>
      <c r="AD1" s="1489"/>
      <c r="AE1" s="1489"/>
      <c r="AF1" s="1489"/>
      <c r="AG1" s="1489"/>
      <c r="AH1" s="1489"/>
      <c r="AI1" s="1489"/>
      <c r="AJ1" s="1489"/>
      <c r="AK1" s="1489"/>
      <c r="AL1" s="1489"/>
      <c r="AM1" s="1489"/>
      <c r="AN1" s="1489"/>
      <c r="AO1" s="1489"/>
      <c r="AP1" s="1489"/>
      <c r="AQ1" s="1489"/>
      <c r="AR1" s="1489"/>
      <c r="AS1" s="1489"/>
      <c r="AT1" s="1489"/>
      <c r="AU1" s="1489"/>
      <c r="AV1" s="1489"/>
      <c r="AW1" s="1489"/>
      <c r="AX1" s="1489"/>
      <c r="AY1" s="1489"/>
      <c r="AZ1" s="1489"/>
      <c r="BA1" s="1489"/>
      <c r="BB1" s="1489"/>
      <c r="BC1" s="1489"/>
    </row>
    <row r="2" spans="1:56" s="1470" customFormat="1" ht="21">
      <c r="A2" s="127" t="s">
        <v>88</v>
      </c>
      <c r="B2" s="127" t="str">
        <f>'ปร4 โครงสร้างหอถัง'!D3</f>
        <v xml:space="preserve">ก่อสร้างระบบประปาหมู่บ้านแบบบาดาลพร้อมหอถังสูง พร้อมเจาะบ่อบาดาล  </v>
      </c>
      <c r="E2" s="127"/>
      <c r="G2" s="1471"/>
      <c r="H2" s="127"/>
      <c r="I2" s="1471"/>
      <c r="J2" s="1471"/>
      <c r="K2" s="127"/>
      <c r="L2" s="1472"/>
      <c r="M2" s="1471"/>
      <c r="N2" s="127"/>
      <c r="O2" s="1472"/>
      <c r="P2" s="1472"/>
      <c r="Q2" s="1472"/>
      <c r="R2" s="1472"/>
      <c r="S2" s="1472"/>
      <c r="T2" s="1472"/>
      <c r="U2" s="1472"/>
      <c r="V2" s="1472"/>
      <c r="W2" s="1472"/>
      <c r="X2" s="1472"/>
      <c r="Y2" s="1472"/>
      <c r="Z2" s="1472"/>
      <c r="AA2" s="1472"/>
      <c r="AB2" s="1472"/>
      <c r="AC2" s="1472"/>
      <c r="AD2" s="1472"/>
      <c r="AE2" s="1472"/>
      <c r="AF2" s="1472"/>
      <c r="AG2" s="1472"/>
      <c r="AH2" s="1472"/>
      <c r="AI2" s="1472"/>
      <c r="AJ2" s="1472"/>
      <c r="AK2" s="1472"/>
      <c r="AL2" s="1472"/>
      <c r="AM2" s="1472"/>
      <c r="AN2" s="1472"/>
      <c r="AO2" s="1472"/>
      <c r="AP2" s="1472"/>
      <c r="AQ2" s="1472"/>
      <c r="AR2" s="1472"/>
      <c r="AS2" s="1472"/>
      <c r="AT2" s="1472"/>
      <c r="AU2" s="1472"/>
      <c r="AV2" s="1472"/>
      <c r="AW2" s="1472"/>
      <c r="AX2" s="1472"/>
      <c r="AY2" s="1472"/>
      <c r="AZ2" s="1472"/>
      <c r="BA2" s="1472"/>
      <c r="BB2" s="1472"/>
      <c r="BC2" s="1472"/>
    </row>
    <row r="3" spans="1:56" s="127" customFormat="1" ht="21">
      <c r="B3" s="127" t="e">
        <f>'ปร4 โครงสร้างหอถัง'!#REF!</f>
        <v>#REF!</v>
      </c>
      <c r="E3" s="1471" t="e">
        <f>'ปร4 โครงสร้างหอถัง'!#REF!</f>
        <v>#REF!</v>
      </c>
      <c r="F3" s="127" t="s">
        <v>89</v>
      </c>
      <c r="G3" s="127" t="s">
        <v>90</v>
      </c>
    </row>
    <row r="4" spans="1:56" s="1470" customFormat="1" ht="21">
      <c r="A4" s="127"/>
      <c r="B4" s="127" t="s">
        <v>91</v>
      </c>
      <c r="C4" s="127"/>
      <c r="D4" s="127"/>
      <c r="E4" s="1472"/>
      <c r="F4" s="1472"/>
      <c r="G4" s="1472"/>
      <c r="H4" s="1472"/>
      <c r="I4" s="1472"/>
      <c r="J4" s="1472"/>
      <c r="K4" s="1472"/>
      <c r="L4" s="1472"/>
      <c r="M4" s="1472"/>
      <c r="N4" s="1472"/>
      <c r="O4" s="1472"/>
      <c r="P4" s="1472"/>
      <c r="Q4" s="1472"/>
      <c r="R4" s="1472"/>
      <c r="S4" s="1472"/>
      <c r="T4" s="1472"/>
      <c r="U4" s="1472"/>
      <c r="V4" s="1472"/>
      <c r="W4" s="1472"/>
      <c r="X4" s="1472"/>
      <c r="Y4" s="1472"/>
      <c r="Z4" s="1472"/>
      <c r="AA4" s="1472"/>
      <c r="AB4" s="1472"/>
      <c r="AC4" s="1472"/>
      <c r="AD4" s="1472"/>
      <c r="AE4" s="1472"/>
      <c r="AF4" s="1472"/>
      <c r="AG4" s="1472"/>
      <c r="AH4" s="1472"/>
      <c r="AI4" s="1472"/>
      <c r="AJ4" s="1472"/>
      <c r="AK4" s="1472"/>
      <c r="AL4" s="1472"/>
      <c r="AM4" s="1472"/>
      <c r="AN4" s="1472"/>
      <c r="AO4" s="1472"/>
      <c r="AP4" s="1472"/>
      <c r="AQ4" s="1472"/>
      <c r="AR4" s="1472"/>
      <c r="AS4" s="1472"/>
      <c r="AT4" s="1472"/>
      <c r="AU4" s="1472"/>
      <c r="AV4" s="1472"/>
      <c r="AW4" s="1472"/>
      <c r="AX4" s="1472"/>
      <c r="AY4" s="1472"/>
      <c r="AZ4" s="1472"/>
      <c r="BA4" s="1472"/>
      <c r="BB4" s="1472"/>
      <c r="BC4" s="1472"/>
    </row>
    <row r="5" spans="1:56" s="1470" customFormat="1" ht="23.4">
      <c r="A5" s="127" t="s">
        <v>92</v>
      </c>
      <c r="B5" s="127" t="s">
        <v>93</v>
      </c>
      <c r="C5" s="127"/>
      <c r="D5" s="127"/>
      <c r="E5" s="1472"/>
      <c r="F5" s="1473"/>
      <c r="G5" s="1474"/>
      <c r="H5" s="1474"/>
      <c r="I5" s="1472"/>
      <c r="J5" s="1472"/>
      <c r="K5" s="1472"/>
      <c r="L5" s="1472"/>
      <c r="M5" s="1472"/>
      <c r="N5" s="1472"/>
      <c r="O5" s="1472"/>
      <c r="P5" s="1472"/>
      <c r="Q5" s="1472"/>
      <c r="R5" s="1508" t="s">
        <v>94</v>
      </c>
      <c r="S5" s="1472"/>
      <c r="T5" s="1472"/>
      <c r="U5" s="1472"/>
      <c r="V5" s="1472"/>
      <c r="W5" s="1472"/>
      <c r="X5" s="1472"/>
      <c r="Y5" s="1472"/>
      <c r="Z5" s="1472"/>
      <c r="AA5" s="1472"/>
      <c r="AB5" s="1472"/>
      <c r="AC5" s="1472"/>
      <c r="AD5" s="1472"/>
      <c r="AE5" s="1472"/>
      <c r="AF5" s="1472"/>
      <c r="AG5" s="1472"/>
      <c r="AH5" s="1472"/>
      <c r="AI5" s="1472"/>
      <c r="AJ5" s="1472"/>
      <c r="AK5" s="1472"/>
      <c r="AL5" s="1472"/>
      <c r="AM5" s="1472"/>
      <c r="AN5" s="1472"/>
      <c r="AO5" s="1472"/>
      <c r="AP5" s="1472"/>
      <c r="AQ5" s="1472"/>
      <c r="AR5" s="1472"/>
      <c r="AS5" s="1472"/>
      <c r="AT5" s="1472"/>
      <c r="AU5" s="1472"/>
      <c r="AV5" s="1472"/>
      <c r="AW5" s="1472"/>
      <c r="AX5" s="1472"/>
      <c r="AY5" s="1472"/>
      <c r="AZ5" s="1472"/>
      <c r="BA5" s="1472"/>
      <c r="BB5" s="1472"/>
      <c r="BC5" s="1472"/>
    </row>
    <row r="6" spans="1:56" s="1470" customFormat="1" ht="21">
      <c r="A6" s="125"/>
      <c r="B6" s="1910" t="s">
        <v>95</v>
      </c>
      <c r="C6" s="1900" t="s">
        <v>96</v>
      </c>
      <c r="D6" s="130"/>
      <c r="E6" s="131"/>
      <c r="F6" s="1863" t="s">
        <v>11</v>
      </c>
      <c r="G6" s="132" t="s">
        <v>12</v>
      </c>
      <c r="H6" s="1858" t="s">
        <v>97</v>
      </c>
      <c r="I6" s="1859"/>
      <c r="J6" s="1859"/>
      <c r="K6" s="1859"/>
      <c r="L6" s="1859"/>
      <c r="M6" s="1860"/>
      <c r="N6" s="1916" t="s">
        <v>98</v>
      </c>
      <c r="O6" s="1917"/>
      <c r="P6" s="1918"/>
      <c r="Q6" s="1906" t="s">
        <v>99</v>
      </c>
      <c r="R6" s="1865" t="s">
        <v>100</v>
      </c>
      <c r="S6" s="125"/>
      <c r="T6" s="274" t="s">
        <v>17</v>
      </c>
      <c r="U6" s="1818" t="s">
        <v>18</v>
      </c>
      <c r="V6" s="1819"/>
      <c r="W6" s="1820"/>
      <c r="X6" s="1821" t="s">
        <v>19</v>
      </c>
      <c r="Y6" s="1822"/>
      <c r="Z6" s="1823"/>
      <c r="AA6" s="1818" t="s">
        <v>18</v>
      </c>
      <c r="AB6" s="1819"/>
      <c r="AC6" s="1820"/>
      <c r="AD6" s="1821" t="s">
        <v>19</v>
      </c>
      <c r="AE6" s="1822"/>
      <c r="AF6" s="1823"/>
      <c r="AG6" s="1818" t="s">
        <v>18</v>
      </c>
      <c r="AH6" s="1819"/>
      <c r="AI6" s="1820"/>
      <c r="AJ6" s="1821" t="s">
        <v>19</v>
      </c>
      <c r="AK6" s="1822"/>
      <c r="AL6" s="1823"/>
      <c r="AM6" s="306" t="s">
        <v>20</v>
      </c>
      <c r="AN6" s="274" t="s">
        <v>8</v>
      </c>
      <c r="AO6" s="274" t="s">
        <v>21</v>
      </c>
      <c r="AP6" s="306" t="s">
        <v>22</v>
      </c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</row>
    <row r="7" spans="1:56" s="1470" customFormat="1" ht="21">
      <c r="A7" s="125"/>
      <c r="B7" s="1911"/>
      <c r="C7" s="1868"/>
      <c r="D7" s="134"/>
      <c r="E7" s="135"/>
      <c r="F7" s="1864"/>
      <c r="G7" s="137" t="s">
        <v>31</v>
      </c>
      <c r="H7" s="1861" t="s">
        <v>101</v>
      </c>
      <c r="I7" s="1862"/>
      <c r="J7" s="1861" t="s">
        <v>102</v>
      </c>
      <c r="K7" s="1862"/>
      <c r="L7" s="1861" t="s">
        <v>102</v>
      </c>
      <c r="M7" s="1862"/>
      <c r="N7" s="1871"/>
      <c r="O7" s="1872"/>
      <c r="P7" s="1873"/>
      <c r="Q7" s="1932"/>
      <c r="R7" s="1866"/>
      <c r="S7" s="125"/>
      <c r="T7" s="274" t="s">
        <v>23</v>
      </c>
      <c r="U7" s="277" t="s">
        <v>24</v>
      </c>
      <c r="V7" s="277" t="s">
        <v>25</v>
      </c>
      <c r="W7" s="277" t="s">
        <v>26</v>
      </c>
      <c r="X7" s="277" t="s">
        <v>24</v>
      </c>
      <c r="Y7" s="277" t="s">
        <v>25</v>
      </c>
      <c r="Z7" s="277" t="s">
        <v>26</v>
      </c>
      <c r="AA7" s="277" t="s">
        <v>24</v>
      </c>
      <c r="AB7" s="277" t="s">
        <v>25</v>
      </c>
      <c r="AC7" s="277" t="s">
        <v>26</v>
      </c>
      <c r="AD7" s="277" t="s">
        <v>24</v>
      </c>
      <c r="AE7" s="277" t="s">
        <v>25</v>
      </c>
      <c r="AF7" s="277" t="s">
        <v>26</v>
      </c>
      <c r="AG7" s="277" t="s">
        <v>24</v>
      </c>
      <c r="AH7" s="277" t="s">
        <v>25</v>
      </c>
      <c r="AI7" s="277" t="s">
        <v>26</v>
      </c>
      <c r="AJ7" s="277" t="s">
        <v>24</v>
      </c>
      <c r="AK7" s="277" t="s">
        <v>25</v>
      </c>
      <c r="AL7" s="277" t="s">
        <v>26</v>
      </c>
      <c r="AM7" s="306" t="s">
        <v>23</v>
      </c>
      <c r="AN7" s="274" t="s">
        <v>27</v>
      </c>
      <c r="AO7" s="274" t="s">
        <v>28</v>
      </c>
      <c r="AP7" s="306" t="s">
        <v>29</v>
      </c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 t="s">
        <v>30</v>
      </c>
    </row>
    <row r="8" spans="1:56" s="1470" customFormat="1" ht="21">
      <c r="A8" s="125"/>
      <c r="B8" s="158">
        <v>1</v>
      </c>
      <c r="C8" s="159" t="s">
        <v>103</v>
      </c>
      <c r="D8" s="160"/>
      <c r="E8" s="161"/>
      <c r="F8" s="162" t="s">
        <v>55</v>
      </c>
      <c r="G8" s="163">
        <v>67</v>
      </c>
      <c r="H8" s="1867">
        <v>67</v>
      </c>
      <c r="I8" s="1867"/>
      <c r="J8" s="241"/>
      <c r="K8" s="242"/>
      <c r="L8" s="241"/>
      <c r="M8" s="242"/>
      <c r="N8" s="243" t="s">
        <v>104</v>
      </c>
      <c r="O8" s="243" t="s">
        <v>104</v>
      </c>
      <c r="P8" s="243" t="s">
        <v>104</v>
      </c>
      <c r="Q8" s="1509" t="s">
        <v>105</v>
      </c>
      <c r="R8" s="283"/>
      <c r="S8" s="125"/>
      <c r="T8" s="284">
        <f>SUM(H8:N8)</f>
        <v>67</v>
      </c>
      <c r="U8" s="285" t="e">
        <f>IF(#REF!="รถ 6 ล้อ",H8*#REF!,0)</f>
        <v>#REF!</v>
      </c>
      <c r="V8" s="285" t="e">
        <f>IF(#REF!="รถ 6 ล้อ",N8*#REF!,0)</f>
        <v>#REF!</v>
      </c>
      <c r="W8" s="285" t="e">
        <f>IF(#REF!="รถ 6 ล้อ",#REF!*#REF!,0)</f>
        <v>#REF!</v>
      </c>
      <c r="X8" s="285" t="e">
        <f>IF(#REF!="รถ 6 ล้อ",#REF!*#REF!,0)</f>
        <v>#REF!</v>
      </c>
      <c r="Y8" s="285" t="e">
        <f>IF(#REF!="รถ 6 ล้อ",#REF!*#REF!,0)</f>
        <v>#REF!</v>
      </c>
      <c r="Z8" s="285" t="e">
        <f>IF(#REF!="รถ 6 ล้อ",#REF!*#REF!,0)</f>
        <v>#REF!</v>
      </c>
      <c r="AA8" s="285" t="e">
        <f>IF(#REF!="รถ 10 ล้อ",H8*#REF!,0)</f>
        <v>#REF!</v>
      </c>
      <c r="AB8" s="285" t="e">
        <f>IF(#REF!="รถ 10 ล้อ",N8*#REF!,0)</f>
        <v>#REF!</v>
      </c>
      <c r="AC8" s="285" t="e">
        <f>IF(#REF!="รถ 10 ล้อ",#REF!*#REF!,0)</f>
        <v>#REF!</v>
      </c>
      <c r="AD8" s="285" t="e">
        <f>IF(#REF!="รถ 10 ล้อ",#REF!*#REF!,0)</f>
        <v>#REF!</v>
      </c>
      <c r="AE8" s="285" t="e">
        <f>IF(#REF!="รถ 10 ล้อ",#REF!*#REF!,0)</f>
        <v>#REF!</v>
      </c>
      <c r="AF8" s="285" t="e">
        <f>IF(#REF!="รถ 10 ล้อ",#REF!*#REF!,0)</f>
        <v>#REF!</v>
      </c>
      <c r="AG8" s="285" t="e">
        <f>IF(#REF!="รถ 10 ล้อ + ลากพ่วง",H8*#REF!,0)</f>
        <v>#REF!</v>
      </c>
      <c r="AH8" s="285" t="e">
        <f>IF(#REF!="รถ 10 ล้อ + ลากพ่วง",N8*#REF!,0)</f>
        <v>#REF!</v>
      </c>
      <c r="AI8" s="285" t="e">
        <f>IF(#REF!="รถ 10 ล้อ + ลากพ่วง",#REF!*#REF!,0)</f>
        <v>#REF!</v>
      </c>
      <c r="AJ8" s="285" t="e">
        <f>IF(#REF!="รถ 10 ล้อ + ลากพ่วง",#REF!*#REF!,0)</f>
        <v>#REF!</v>
      </c>
      <c r="AK8" s="285" t="e">
        <f>IF(#REF!="รถ 10 ล้อ + ลากพ่วง",#REF!*#REF!,0)</f>
        <v>#REF!</v>
      </c>
      <c r="AL8" s="285" t="e">
        <f>IF(#REF!="รถ 10 ล้อ + ลากพ่วง",#REF!*#REF!,0)</f>
        <v>#REF!</v>
      </c>
      <c r="AM8" s="307" t="e">
        <f>ROUND(SUM(U8:AL8),2)</f>
        <v>#REF!</v>
      </c>
      <c r="AN8" s="308" t="e">
        <f>IF(T8=0,0,ROUND(AM8/T8,4))</f>
        <v>#REF!</v>
      </c>
      <c r="AO8" s="285" t="e">
        <f>IF(T8=0,0,IF(#REF!="รถ 6 ล้อ",VLOOKUP($T8,[51]ค่าขนส่งดำเนินการเสื่อมราคา!$B$11:$D$210,3),IF(#REF!="รถ 10 ล้อ",VLOOKUP($T8,[51]ค่าขนส่งดำเนินการเสื่อมราคา!$F$11:$H$210,3),IF(#REF!="รถ 10 ล้อ + ลากพ่วง",VLOOKUP($T8,[51]ค่าขนส่งดำเนินการเสื่อมราคา!$J$11:$L$210,3),0))))</f>
        <v>#REF!</v>
      </c>
      <c r="AP8" s="310" t="e">
        <f>ROUND(AN8*AO8,2)</f>
        <v>#REF!</v>
      </c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</row>
    <row r="9" spans="1:56" s="1470" customFormat="1" ht="21">
      <c r="A9" s="125"/>
      <c r="B9" s="1912" t="s">
        <v>95</v>
      </c>
      <c r="C9" s="1904" t="s">
        <v>96</v>
      </c>
      <c r="D9" s="170"/>
      <c r="E9" s="171"/>
      <c r="F9" s="1928" t="s">
        <v>11</v>
      </c>
      <c r="G9" s="173" t="s">
        <v>12</v>
      </c>
      <c r="H9" s="1868" t="s">
        <v>97</v>
      </c>
      <c r="I9" s="1869"/>
      <c r="J9" s="1869"/>
      <c r="K9" s="1869"/>
      <c r="L9" s="1869"/>
      <c r="M9" s="1870"/>
      <c r="N9" s="1919" t="s">
        <v>98</v>
      </c>
      <c r="O9" s="1920"/>
      <c r="P9" s="1921"/>
      <c r="Q9" s="1907" t="s">
        <v>99</v>
      </c>
      <c r="R9" s="1874" t="s">
        <v>100</v>
      </c>
      <c r="S9" s="125"/>
      <c r="T9" s="274" t="s">
        <v>17</v>
      </c>
      <c r="U9" s="1818" t="s">
        <v>18</v>
      </c>
      <c r="V9" s="1819"/>
      <c r="W9" s="1820"/>
      <c r="X9" s="1821" t="s">
        <v>19</v>
      </c>
      <c r="Y9" s="1822"/>
      <c r="Z9" s="1823"/>
      <c r="AA9" s="1818" t="s">
        <v>18</v>
      </c>
      <c r="AB9" s="1819"/>
      <c r="AC9" s="1820"/>
      <c r="AD9" s="1821" t="s">
        <v>19</v>
      </c>
      <c r="AE9" s="1822"/>
      <c r="AF9" s="1823"/>
      <c r="AG9" s="1818" t="s">
        <v>18</v>
      </c>
      <c r="AH9" s="1819"/>
      <c r="AI9" s="1820"/>
      <c r="AJ9" s="1821" t="s">
        <v>19</v>
      </c>
      <c r="AK9" s="1822"/>
      <c r="AL9" s="1823"/>
      <c r="AM9" s="306" t="s">
        <v>20</v>
      </c>
      <c r="AN9" s="274" t="s">
        <v>8</v>
      </c>
      <c r="AO9" s="274" t="s">
        <v>21</v>
      </c>
      <c r="AP9" s="306" t="s">
        <v>22</v>
      </c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</row>
    <row r="10" spans="1:56" s="1470" customFormat="1" ht="21">
      <c r="A10" s="125"/>
      <c r="B10" s="1911"/>
      <c r="C10" s="1868"/>
      <c r="D10" s="134"/>
      <c r="E10" s="135"/>
      <c r="F10" s="1864"/>
      <c r="G10" s="137" t="s">
        <v>31</v>
      </c>
      <c r="H10" s="1871" t="s">
        <v>59</v>
      </c>
      <c r="I10" s="1872"/>
      <c r="J10" s="1873"/>
      <c r="K10" s="1871" t="s">
        <v>106</v>
      </c>
      <c r="L10" s="1872"/>
      <c r="M10" s="1873"/>
      <c r="N10" s="1871"/>
      <c r="O10" s="1872"/>
      <c r="P10" s="1873"/>
      <c r="Q10" s="1932"/>
      <c r="R10" s="1866"/>
      <c r="S10" s="125"/>
      <c r="T10" s="274" t="s">
        <v>23</v>
      </c>
      <c r="U10" s="277" t="s">
        <v>24</v>
      </c>
      <c r="V10" s="277" t="s">
        <v>25</v>
      </c>
      <c r="W10" s="277" t="s">
        <v>26</v>
      </c>
      <c r="X10" s="277" t="s">
        <v>24</v>
      </c>
      <c r="Y10" s="277" t="s">
        <v>25</v>
      </c>
      <c r="Z10" s="277" t="s">
        <v>26</v>
      </c>
      <c r="AA10" s="277" t="s">
        <v>24</v>
      </c>
      <c r="AB10" s="277" t="s">
        <v>25</v>
      </c>
      <c r="AC10" s="277" t="s">
        <v>26</v>
      </c>
      <c r="AD10" s="277" t="s">
        <v>24</v>
      </c>
      <c r="AE10" s="277" t="s">
        <v>25</v>
      </c>
      <c r="AF10" s="277" t="s">
        <v>26</v>
      </c>
      <c r="AG10" s="277" t="s">
        <v>24</v>
      </c>
      <c r="AH10" s="277" t="s">
        <v>25</v>
      </c>
      <c r="AI10" s="277" t="s">
        <v>26</v>
      </c>
      <c r="AJ10" s="277" t="s">
        <v>24</v>
      </c>
      <c r="AK10" s="277" t="s">
        <v>25</v>
      </c>
      <c r="AL10" s="277" t="s">
        <v>26</v>
      </c>
      <c r="AM10" s="306" t="s">
        <v>23</v>
      </c>
      <c r="AN10" s="274" t="s">
        <v>27</v>
      </c>
      <c r="AO10" s="274" t="s">
        <v>28</v>
      </c>
      <c r="AP10" s="306" t="s">
        <v>29</v>
      </c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 t="s">
        <v>30</v>
      </c>
    </row>
    <row r="11" spans="1:56" s="1470" customFormat="1" ht="21">
      <c r="A11" s="125"/>
      <c r="B11" s="174"/>
      <c r="C11" s="175"/>
      <c r="D11" s="176"/>
      <c r="E11" s="177"/>
      <c r="F11" s="178"/>
      <c r="G11" s="179"/>
      <c r="H11" s="180" t="s">
        <v>107</v>
      </c>
      <c r="I11" s="183" t="s">
        <v>108</v>
      </c>
      <c r="J11" s="133" t="s">
        <v>109</v>
      </c>
      <c r="K11" s="180" t="s">
        <v>107</v>
      </c>
      <c r="L11" s="183" t="s">
        <v>110</v>
      </c>
      <c r="M11" s="133" t="s">
        <v>109</v>
      </c>
      <c r="N11" s="136"/>
      <c r="O11" s="136"/>
      <c r="P11" s="136"/>
      <c r="Q11" s="264"/>
      <c r="R11" s="275"/>
      <c r="S11" s="125"/>
      <c r="T11" s="288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  <c r="AE11" s="289"/>
      <c r="AF11" s="289"/>
      <c r="AG11" s="289"/>
      <c r="AH11" s="289"/>
      <c r="AI11" s="289"/>
      <c r="AJ11" s="289"/>
      <c r="AK11" s="289"/>
      <c r="AL11" s="289"/>
      <c r="AM11" s="309"/>
      <c r="AN11" s="288"/>
      <c r="AO11" s="288"/>
      <c r="AP11" s="309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</row>
    <row r="12" spans="1:56" s="1470" customFormat="1" ht="22.95" customHeight="1">
      <c r="A12" s="125"/>
      <c r="B12" s="164">
        <v>2</v>
      </c>
      <c r="C12" s="165" t="s">
        <v>111</v>
      </c>
      <c r="D12" s="154"/>
      <c r="E12" s="155"/>
      <c r="F12" s="162" t="s">
        <v>55</v>
      </c>
      <c r="G12" s="181">
        <f>J12</f>
        <v>254.65</v>
      </c>
      <c r="H12" s="182">
        <v>180</v>
      </c>
      <c r="I12" s="182">
        <v>74.650000000000006</v>
      </c>
      <c r="J12" s="167">
        <f t="shared" ref="J12:J17" si="0">H12+I12</f>
        <v>254.65</v>
      </c>
      <c r="K12" s="182">
        <v>270</v>
      </c>
      <c r="L12" s="182">
        <f>'[66]รถ 10 ล้อ'!M22</f>
        <v>198.57</v>
      </c>
      <c r="M12" s="182">
        <f t="shared" ref="M12:M17" si="1">K12+L12</f>
        <v>468.57</v>
      </c>
      <c r="N12" s="243" t="str">
        <f>N8</f>
        <v>-</v>
      </c>
      <c r="O12" s="243"/>
      <c r="P12" s="243"/>
      <c r="Q12" s="243" t="str">
        <f>Q8</f>
        <v>16 กค.67</v>
      </c>
      <c r="R12" s="286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</row>
    <row r="13" spans="1:56" s="1470" customFormat="1" ht="21">
      <c r="A13" s="125"/>
      <c r="B13" s="1910" t="s">
        <v>95</v>
      </c>
      <c r="C13" s="1900" t="s">
        <v>96</v>
      </c>
      <c r="D13" s="130"/>
      <c r="E13" s="131"/>
      <c r="F13" s="1863" t="s">
        <v>11</v>
      </c>
      <c r="G13" s="132" t="s">
        <v>12</v>
      </c>
      <c r="H13" s="1858" t="s">
        <v>97</v>
      </c>
      <c r="I13" s="1859"/>
      <c r="J13" s="1859"/>
      <c r="K13" s="1859"/>
      <c r="L13" s="1859"/>
      <c r="M13" s="1860"/>
      <c r="N13" s="1916" t="s">
        <v>38</v>
      </c>
      <c r="O13" s="1917"/>
      <c r="P13" s="1918"/>
      <c r="Q13" s="1906" t="s">
        <v>99</v>
      </c>
      <c r="R13" s="1865" t="s">
        <v>100</v>
      </c>
      <c r="S13" s="125"/>
      <c r="T13" s="274" t="s">
        <v>17</v>
      </c>
      <c r="U13" s="1818" t="s">
        <v>18</v>
      </c>
      <c r="V13" s="1819"/>
      <c r="W13" s="1820"/>
      <c r="X13" s="1821" t="s">
        <v>19</v>
      </c>
      <c r="Y13" s="1822"/>
      <c r="Z13" s="1823"/>
      <c r="AA13" s="1818" t="s">
        <v>18</v>
      </c>
      <c r="AB13" s="1819"/>
      <c r="AC13" s="1820"/>
      <c r="AD13" s="1821" t="s">
        <v>19</v>
      </c>
      <c r="AE13" s="1822"/>
      <c r="AF13" s="1823"/>
      <c r="AG13" s="1818" t="s">
        <v>18</v>
      </c>
      <c r="AH13" s="1819"/>
      <c r="AI13" s="1820"/>
      <c r="AJ13" s="1821" t="s">
        <v>19</v>
      </c>
      <c r="AK13" s="1822"/>
      <c r="AL13" s="1823"/>
      <c r="AM13" s="306" t="s">
        <v>20</v>
      </c>
      <c r="AN13" s="274" t="s">
        <v>8</v>
      </c>
      <c r="AO13" s="274" t="s">
        <v>21</v>
      </c>
      <c r="AP13" s="306" t="s">
        <v>22</v>
      </c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</row>
    <row r="14" spans="1:56" s="1470" customFormat="1" ht="21">
      <c r="A14" s="125"/>
      <c r="B14" s="1911"/>
      <c r="C14" s="1868"/>
      <c r="D14" s="134"/>
      <c r="E14" s="135"/>
      <c r="F14" s="1864"/>
      <c r="G14" s="137" t="s">
        <v>31</v>
      </c>
      <c r="H14" s="1871" t="s">
        <v>59</v>
      </c>
      <c r="I14" s="1872"/>
      <c r="J14" s="1873"/>
      <c r="K14" s="1871" t="s">
        <v>106</v>
      </c>
      <c r="L14" s="1872"/>
      <c r="M14" s="1873"/>
      <c r="N14" s="1871"/>
      <c r="O14" s="1872"/>
      <c r="P14" s="1873"/>
      <c r="Q14" s="1932"/>
      <c r="R14" s="1866"/>
      <c r="S14" s="125"/>
      <c r="T14" s="274" t="s">
        <v>23</v>
      </c>
      <c r="U14" s="277" t="s">
        <v>24</v>
      </c>
      <c r="V14" s="277" t="s">
        <v>25</v>
      </c>
      <c r="W14" s="277" t="s">
        <v>26</v>
      </c>
      <c r="X14" s="277" t="s">
        <v>24</v>
      </c>
      <c r="Y14" s="277" t="s">
        <v>25</v>
      </c>
      <c r="Z14" s="277" t="s">
        <v>26</v>
      </c>
      <c r="AA14" s="277" t="s">
        <v>24</v>
      </c>
      <c r="AB14" s="277" t="s">
        <v>25</v>
      </c>
      <c r="AC14" s="277" t="s">
        <v>26</v>
      </c>
      <c r="AD14" s="277" t="s">
        <v>24</v>
      </c>
      <c r="AE14" s="277" t="s">
        <v>25</v>
      </c>
      <c r="AF14" s="277" t="s">
        <v>26</v>
      </c>
      <c r="AG14" s="277" t="s">
        <v>24</v>
      </c>
      <c r="AH14" s="277" t="s">
        <v>25</v>
      </c>
      <c r="AI14" s="277" t="s">
        <v>26</v>
      </c>
      <c r="AJ14" s="277" t="s">
        <v>24</v>
      </c>
      <c r="AK14" s="277" t="s">
        <v>25</v>
      </c>
      <c r="AL14" s="277" t="s">
        <v>26</v>
      </c>
      <c r="AM14" s="306" t="s">
        <v>23</v>
      </c>
      <c r="AN14" s="274" t="s">
        <v>27</v>
      </c>
      <c r="AO14" s="274" t="s">
        <v>28</v>
      </c>
      <c r="AP14" s="306" t="s">
        <v>29</v>
      </c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 t="s">
        <v>30</v>
      </c>
    </row>
    <row r="15" spans="1:56" s="1470" customFormat="1" ht="21">
      <c r="A15" s="125"/>
      <c r="B15" s="174"/>
      <c r="C15" s="175"/>
      <c r="D15" s="176"/>
      <c r="E15" s="177"/>
      <c r="F15" s="178"/>
      <c r="G15" s="179"/>
      <c r="H15" s="180" t="s">
        <v>107</v>
      </c>
      <c r="I15" s="183" t="s">
        <v>108</v>
      </c>
      <c r="J15" s="133" t="s">
        <v>109</v>
      </c>
      <c r="K15" s="180" t="s">
        <v>107</v>
      </c>
      <c r="L15" s="183" t="s">
        <v>110</v>
      </c>
      <c r="M15" s="133" t="s">
        <v>109</v>
      </c>
      <c r="N15" s="180" t="s">
        <v>107</v>
      </c>
      <c r="O15" s="1490" t="s">
        <v>112</v>
      </c>
      <c r="P15" s="133" t="s">
        <v>109</v>
      </c>
      <c r="Q15" s="264"/>
      <c r="R15" s="275"/>
      <c r="S15" s="125"/>
      <c r="T15" s="288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309"/>
      <c r="AN15" s="288"/>
      <c r="AO15" s="288"/>
      <c r="AP15" s="309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</row>
    <row r="16" spans="1:56" s="125" customFormat="1" ht="22.95" customHeight="1">
      <c r="B16" s="138">
        <v>3</v>
      </c>
      <c r="C16" s="184" t="s">
        <v>113</v>
      </c>
      <c r="D16" s="140"/>
      <c r="E16" s="141"/>
      <c r="F16" s="185" t="s">
        <v>55</v>
      </c>
      <c r="G16" s="186">
        <f>P16</f>
        <v>1913.9</v>
      </c>
      <c r="H16" s="187">
        <v>1850</v>
      </c>
      <c r="I16" s="187">
        <f>'[66]รถ 10 ล้อ'!I29</f>
        <v>78.290000000000006</v>
      </c>
      <c r="J16" s="187">
        <f t="shared" si="0"/>
        <v>1928.29</v>
      </c>
      <c r="K16" s="187">
        <v>1850</v>
      </c>
      <c r="L16" s="187">
        <f>'[66]รถ 10 ล้อ'!M22</f>
        <v>198.57</v>
      </c>
      <c r="M16" s="187">
        <f t="shared" si="1"/>
        <v>2048.5700000000002</v>
      </c>
      <c r="N16" s="1491">
        <v>1766.36</v>
      </c>
      <c r="O16" s="1492">
        <v>147.54</v>
      </c>
      <c r="P16" s="249">
        <f>N16+O16</f>
        <v>1913.9</v>
      </c>
      <c r="Q16" s="1510" t="str">
        <f>Q8</f>
        <v>16 กค.67</v>
      </c>
      <c r="R16" s="278"/>
    </row>
    <row r="17" spans="1:56" s="125" customFormat="1" ht="22.95" customHeight="1">
      <c r="B17" s="188">
        <v>4</v>
      </c>
      <c r="C17" s="189" t="s">
        <v>114</v>
      </c>
      <c r="D17" s="190"/>
      <c r="E17" s="191"/>
      <c r="F17" s="192" t="s">
        <v>55</v>
      </c>
      <c r="G17" s="193">
        <f>P17</f>
        <v>1998.01</v>
      </c>
      <c r="H17" s="194">
        <v>1950</v>
      </c>
      <c r="I17" s="194">
        <f>I16</f>
        <v>78.290000000000006</v>
      </c>
      <c r="J17" s="194">
        <f t="shared" si="0"/>
        <v>2028.29</v>
      </c>
      <c r="K17" s="194">
        <v>1950</v>
      </c>
      <c r="L17" s="194">
        <f>'[66]รถ 10 ล้อ'!M22</f>
        <v>198.57</v>
      </c>
      <c r="M17" s="194">
        <f t="shared" si="1"/>
        <v>2148.5700000000002</v>
      </c>
      <c r="N17" s="1493">
        <v>1850.47</v>
      </c>
      <c r="O17" s="1494">
        <f>O16</f>
        <v>147.54</v>
      </c>
      <c r="P17" s="252">
        <f>N17+O17</f>
        <v>1998.01</v>
      </c>
      <c r="Q17" s="1511" t="str">
        <f>Q8</f>
        <v>16 กค.67</v>
      </c>
      <c r="R17" s="281"/>
    </row>
    <row r="18" spans="1:56" s="1470" customFormat="1" ht="21">
      <c r="A18" s="125"/>
      <c r="B18" s="1910" t="s">
        <v>95</v>
      </c>
      <c r="C18" s="1900" t="s">
        <v>96</v>
      </c>
      <c r="D18" s="130"/>
      <c r="E18" s="131"/>
      <c r="F18" s="1863" t="s">
        <v>11</v>
      </c>
      <c r="G18" s="132" t="s">
        <v>12</v>
      </c>
      <c r="H18" s="1858" t="s">
        <v>97</v>
      </c>
      <c r="I18" s="1859"/>
      <c r="J18" s="1859"/>
      <c r="K18" s="1859"/>
      <c r="L18" s="1859"/>
      <c r="M18" s="1860"/>
      <c r="N18" s="1916" t="s">
        <v>98</v>
      </c>
      <c r="O18" s="1917"/>
      <c r="P18" s="1918"/>
      <c r="Q18" s="1906" t="s">
        <v>99</v>
      </c>
      <c r="R18" s="1865" t="s">
        <v>100</v>
      </c>
      <c r="S18" s="125"/>
      <c r="T18" s="274" t="s">
        <v>17</v>
      </c>
      <c r="U18" s="1818" t="s">
        <v>18</v>
      </c>
      <c r="V18" s="1819"/>
      <c r="W18" s="1820"/>
      <c r="X18" s="1821" t="s">
        <v>19</v>
      </c>
      <c r="Y18" s="1822"/>
      <c r="Z18" s="1823"/>
      <c r="AA18" s="1818" t="s">
        <v>18</v>
      </c>
      <c r="AB18" s="1819"/>
      <c r="AC18" s="1820"/>
      <c r="AD18" s="1821" t="s">
        <v>19</v>
      </c>
      <c r="AE18" s="1822"/>
      <c r="AF18" s="1823"/>
      <c r="AG18" s="1818" t="s">
        <v>18</v>
      </c>
      <c r="AH18" s="1819"/>
      <c r="AI18" s="1820"/>
      <c r="AJ18" s="1821" t="s">
        <v>19</v>
      </c>
      <c r="AK18" s="1822"/>
      <c r="AL18" s="1823"/>
      <c r="AM18" s="306" t="s">
        <v>20</v>
      </c>
      <c r="AN18" s="274" t="s">
        <v>8</v>
      </c>
      <c r="AO18" s="274" t="s">
        <v>21</v>
      </c>
      <c r="AP18" s="306" t="s">
        <v>22</v>
      </c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</row>
    <row r="19" spans="1:56" s="1470" customFormat="1" ht="21">
      <c r="A19" s="125"/>
      <c r="B19" s="1911"/>
      <c r="C19" s="1868"/>
      <c r="D19" s="134"/>
      <c r="E19" s="135"/>
      <c r="F19" s="1864"/>
      <c r="G19" s="137" t="s">
        <v>31</v>
      </c>
      <c r="H19" s="1868" t="s">
        <v>115</v>
      </c>
      <c r="I19" s="1870"/>
      <c r="J19" s="1868" t="s">
        <v>116</v>
      </c>
      <c r="K19" s="1870"/>
      <c r="L19" s="1868" t="s">
        <v>102</v>
      </c>
      <c r="M19" s="1870"/>
      <c r="N19" s="1871"/>
      <c r="O19" s="1872"/>
      <c r="P19" s="1873"/>
      <c r="Q19" s="1932"/>
      <c r="R19" s="1866"/>
      <c r="S19" s="125"/>
      <c r="T19" s="274" t="s">
        <v>23</v>
      </c>
      <c r="U19" s="277" t="s">
        <v>24</v>
      </c>
      <c r="V19" s="277" t="s">
        <v>25</v>
      </c>
      <c r="W19" s="277" t="s">
        <v>26</v>
      </c>
      <c r="X19" s="277" t="s">
        <v>24</v>
      </c>
      <c r="Y19" s="277" t="s">
        <v>25</v>
      </c>
      <c r="Z19" s="277" t="s">
        <v>26</v>
      </c>
      <c r="AA19" s="277" t="s">
        <v>24</v>
      </c>
      <c r="AB19" s="277" t="s">
        <v>25</v>
      </c>
      <c r="AC19" s="277" t="s">
        <v>26</v>
      </c>
      <c r="AD19" s="277" t="s">
        <v>24</v>
      </c>
      <c r="AE19" s="277" t="s">
        <v>25</v>
      </c>
      <c r="AF19" s="277" t="s">
        <v>26</v>
      </c>
      <c r="AG19" s="277" t="s">
        <v>24</v>
      </c>
      <c r="AH19" s="277" t="s">
        <v>25</v>
      </c>
      <c r="AI19" s="277" t="s">
        <v>26</v>
      </c>
      <c r="AJ19" s="277" t="s">
        <v>24</v>
      </c>
      <c r="AK19" s="277" t="s">
        <v>25</v>
      </c>
      <c r="AL19" s="277" t="s">
        <v>26</v>
      </c>
      <c r="AM19" s="306" t="s">
        <v>23</v>
      </c>
      <c r="AN19" s="274" t="s">
        <v>27</v>
      </c>
      <c r="AO19" s="274" t="s">
        <v>28</v>
      </c>
      <c r="AP19" s="306" t="s">
        <v>29</v>
      </c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 t="s">
        <v>30</v>
      </c>
    </row>
    <row r="20" spans="1:56" s="1470" customFormat="1" ht="22.95" customHeight="1">
      <c r="A20" s="125"/>
      <c r="B20" s="138">
        <v>5</v>
      </c>
      <c r="C20" s="195" t="s">
        <v>117</v>
      </c>
      <c r="D20" s="196"/>
      <c r="E20" s="141"/>
      <c r="F20" s="142" t="s">
        <v>118</v>
      </c>
      <c r="G20" s="186">
        <f>H20</f>
        <v>24.29</v>
      </c>
      <c r="H20" s="1875">
        <v>24.29</v>
      </c>
      <c r="I20" s="1875"/>
      <c r="J20" s="1876">
        <v>25.87</v>
      </c>
      <c r="K20" s="1877"/>
      <c r="L20" s="1878" t="s">
        <v>102</v>
      </c>
      <c r="M20" s="1879"/>
      <c r="N20" s="1495" t="s">
        <v>104</v>
      </c>
      <c r="O20" s="1495" t="s">
        <v>104</v>
      </c>
      <c r="P20" s="1495" t="s">
        <v>104</v>
      </c>
      <c r="Q20" s="1510" t="str">
        <f>Q8</f>
        <v>16 กค.67</v>
      </c>
      <c r="R20" s="278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</row>
    <row r="21" spans="1:56" s="1470" customFormat="1" ht="22.95" customHeight="1">
      <c r="A21" s="125"/>
      <c r="B21" s="197"/>
      <c r="C21" s="198" t="s">
        <v>119</v>
      </c>
      <c r="D21" s="199"/>
      <c r="E21" s="200"/>
      <c r="F21" s="201"/>
      <c r="G21" s="202"/>
      <c r="H21" s="203"/>
      <c r="I21" s="253"/>
      <c r="J21" s="254"/>
      <c r="K21" s="255"/>
      <c r="L21" s="256"/>
      <c r="M21" s="255"/>
      <c r="N21" s="267"/>
      <c r="O21" s="267"/>
      <c r="P21" s="267"/>
      <c r="Q21" s="293"/>
      <c r="R21" s="294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</row>
    <row r="22" spans="1:56" s="1470" customFormat="1" ht="21">
      <c r="A22" s="125"/>
      <c r="B22" s="1910" t="s">
        <v>95</v>
      </c>
      <c r="C22" s="1900" t="s">
        <v>96</v>
      </c>
      <c r="D22" s="130"/>
      <c r="E22" s="131"/>
      <c r="F22" s="1863" t="s">
        <v>11</v>
      </c>
      <c r="G22" s="132" t="s">
        <v>12</v>
      </c>
      <c r="H22" s="1858" t="s">
        <v>97</v>
      </c>
      <c r="I22" s="1859"/>
      <c r="J22" s="1859"/>
      <c r="K22" s="1859"/>
      <c r="L22" s="1859"/>
      <c r="M22" s="1860"/>
      <c r="N22" s="1916" t="s">
        <v>98</v>
      </c>
      <c r="O22" s="1917"/>
      <c r="P22" s="1918"/>
      <c r="Q22" s="1906" t="s">
        <v>99</v>
      </c>
      <c r="R22" s="1865" t="s">
        <v>100</v>
      </c>
      <c r="S22" s="125"/>
      <c r="T22" s="274" t="s">
        <v>17</v>
      </c>
      <c r="U22" s="1818" t="s">
        <v>18</v>
      </c>
      <c r="V22" s="1819"/>
      <c r="W22" s="1820"/>
      <c r="X22" s="1821" t="s">
        <v>19</v>
      </c>
      <c r="Y22" s="1822"/>
      <c r="Z22" s="1823"/>
      <c r="AA22" s="1818" t="s">
        <v>18</v>
      </c>
      <c r="AB22" s="1819"/>
      <c r="AC22" s="1820"/>
      <c r="AD22" s="1821" t="s">
        <v>19</v>
      </c>
      <c r="AE22" s="1822"/>
      <c r="AF22" s="1823"/>
      <c r="AG22" s="1818" t="s">
        <v>18</v>
      </c>
      <c r="AH22" s="1819"/>
      <c r="AI22" s="1820"/>
      <c r="AJ22" s="1821" t="s">
        <v>19</v>
      </c>
      <c r="AK22" s="1822"/>
      <c r="AL22" s="1823"/>
      <c r="AM22" s="306" t="s">
        <v>20</v>
      </c>
      <c r="AN22" s="274" t="s">
        <v>8</v>
      </c>
      <c r="AO22" s="274" t="s">
        <v>21</v>
      </c>
      <c r="AP22" s="306" t="s">
        <v>22</v>
      </c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</row>
    <row r="23" spans="1:56" s="1470" customFormat="1" ht="21">
      <c r="A23" s="125"/>
      <c r="B23" s="1911"/>
      <c r="C23" s="1868"/>
      <c r="D23" s="134"/>
      <c r="E23" s="135"/>
      <c r="F23" s="1864"/>
      <c r="G23" s="137" t="s">
        <v>31</v>
      </c>
      <c r="H23" s="1868" t="s">
        <v>116</v>
      </c>
      <c r="I23" s="1870"/>
      <c r="J23" s="1868" t="s">
        <v>116</v>
      </c>
      <c r="K23" s="1870"/>
      <c r="L23" s="1868" t="s">
        <v>102</v>
      </c>
      <c r="M23" s="1870"/>
      <c r="N23" s="1871"/>
      <c r="O23" s="1872"/>
      <c r="P23" s="1873"/>
      <c r="Q23" s="1932"/>
      <c r="R23" s="1866"/>
      <c r="S23" s="125"/>
      <c r="T23" s="274" t="s">
        <v>23</v>
      </c>
      <c r="U23" s="277" t="s">
        <v>24</v>
      </c>
      <c r="V23" s="277" t="s">
        <v>25</v>
      </c>
      <c r="W23" s="277" t="s">
        <v>26</v>
      </c>
      <c r="X23" s="277" t="s">
        <v>24</v>
      </c>
      <c r="Y23" s="277" t="s">
        <v>25</v>
      </c>
      <c r="Z23" s="277" t="s">
        <v>26</v>
      </c>
      <c r="AA23" s="277" t="s">
        <v>24</v>
      </c>
      <c r="AB23" s="277" t="s">
        <v>25</v>
      </c>
      <c r="AC23" s="277" t="s">
        <v>26</v>
      </c>
      <c r="AD23" s="277" t="s">
        <v>24</v>
      </c>
      <c r="AE23" s="277" t="s">
        <v>25</v>
      </c>
      <c r="AF23" s="277" t="s">
        <v>26</v>
      </c>
      <c r="AG23" s="277" t="s">
        <v>24</v>
      </c>
      <c r="AH23" s="277" t="s">
        <v>25</v>
      </c>
      <c r="AI23" s="277" t="s">
        <v>26</v>
      </c>
      <c r="AJ23" s="277" t="s">
        <v>24</v>
      </c>
      <c r="AK23" s="277" t="s">
        <v>25</v>
      </c>
      <c r="AL23" s="277" t="s">
        <v>26</v>
      </c>
      <c r="AM23" s="306" t="s">
        <v>23</v>
      </c>
      <c r="AN23" s="274" t="s">
        <v>27</v>
      </c>
      <c r="AO23" s="274" t="s">
        <v>28</v>
      </c>
      <c r="AP23" s="306" t="s">
        <v>29</v>
      </c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 t="s">
        <v>30</v>
      </c>
    </row>
    <row r="24" spans="1:56" s="1470" customFormat="1" ht="22.95" customHeight="1">
      <c r="A24" s="125"/>
      <c r="B24" s="164">
        <v>6</v>
      </c>
      <c r="C24" s="165" t="s">
        <v>120</v>
      </c>
      <c r="D24" s="154"/>
      <c r="E24" s="155"/>
      <c r="F24" s="156" t="s">
        <v>118</v>
      </c>
      <c r="G24" s="181">
        <f>J24</f>
        <v>73.61</v>
      </c>
      <c r="H24" s="1880">
        <v>0</v>
      </c>
      <c r="I24" s="1881"/>
      <c r="J24" s="1882">
        <v>73.61</v>
      </c>
      <c r="K24" s="1882"/>
      <c r="L24" s="1878" t="s">
        <v>102</v>
      </c>
      <c r="M24" s="1879"/>
      <c r="N24" s="1495" t="s">
        <v>104</v>
      </c>
      <c r="O24" s="1495" t="s">
        <v>104</v>
      </c>
      <c r="P24" s="1495" t="s">
        <v>104</v>
      </c>
      <c r="Q24" s="1512" t="str">
        <f>Q20</f>
        <v>16 กค.67</v>
      </c>
      <c r="R24" s="286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</row>
    <row r="25" spans="1:56" s="1470" customFormat="1" ht="21">
      <c r="A25" s="125"/>
      <c r="B25" s="1910" t="s">
        <v>95</v>
      </c>
      <c r="C25" s="1900" t="s">
        <v>96</v>
      </c>
      <c r="D25" s="130"/>
      <c r="E25" s="131"/>
      <c r="F25" s="1863" t="s">
        <v>11</v>
      </c>
      <c r="G25" s="132" t="s">
        <v>12</v>
      </c>
      <c r="H25" s="1858" t="s">
        <v>97</v>
      </c>
      <c r="I25" s="1859"/>
      <c r="J25" s="1859"/>
      <c r="K25" s="1859"/>
      <c r="L25" s="1859"/>
      <c r="M25" s="1860"/>
      <c r="N25" s="1919" t="s">
        <v>98</v>
      </c>
      <c r="O25" s="1920"/>
      <c r="P25" s="1921"/>
      <c r="Q25" s="1906" t="s">
        <v>99</v>
      </c>
      <c r="R25" s="1865" t="s">
        <v>100</v>
      </c>
      <c r="S25" s="125"/>
      <c r="T25" s="274" t="s">
        <v>17</v>
      </c>
      <c r="U25" s="1818" t="s">
        <v>18</v>
      </c>
      <c r="V25" s="1819"/>
      <c r="W25" s="1820"/>
      <c r="X25" s="1821" t="s">
        <v>19</v>
      </c>
      <c r="Y25" s="1822"/>
      <c r="Z25" s="1823"/>
      <c r="AA25" s="1818" t="s">
        <v>18</v>
      </c>
      <c r="AB25" s="1819"/>
      <c r="AC25" s="1820"/>
      <c r="AD25" s="1821" t="s">
        <v>19</v>
      </c>
      <c r="AE25" s="1822"/>
      <c r="AF25" s="1823"/>
      <c r="AG25" s="1818" t="s">
        <v>18</v>
      </c>
      <c r="AH25" s="1819"/>
      <c r="AI25" s="1820"/>
      <c r="AJ25" s="1821" t="s">
        <v>19</v>
      </c>
      <c r="AK25" s="1822"/>
      <c r="AL25" s="1823"/>
      <c r="AM25" s="306" t="s">
        <v>20</v>
      </c>
      <c r="AN25" s="274" t="s">
        <v>8</v>
      </c>
      <c r="AO25" s="274" t="s">
        <v>21</v>
      </c>
      <c r="AP25" s="306" t="s">
        <v>22</v>
      </c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</row>
    <row r="26" spans="1:56" s="1470" customFormat="1" ht="21">
      <c r="A26" s="125"/>
      <c r="B26" s="1911"/>
      <c r="C26" s="1868"/>
      <c r="D26" s="134"/>
      <c r="E26" s="135"/>
      <c r="F26" s="1864"/>
      <c r="G26" s="137" t="s">
        <v>31</v>
      </c>
      <c r="H26" s="1868" t="s">
        <v>121</v>
      </c>
      <c r="I26" s="1870"/>
      <c r="J26" s="1868" t="s">
        <v>122</v>
      </c>
      <c r="K26" s="1870"/>
      <c r="L26" s="1868" t="s">
        <v>102</v>
      </c>
      <c r="M26" s="1870"/>
      <c r="N26" s="1871"/>
      <c r="O26" s="1872"/>
      <c r="P26" s="1873"/>
      <c r="Q26" s="1932"/>
      <c r="R26" s="1866"/>
      <c r="S26" s="125"/>
      <c r="T26" s="274" t="s">
        <v>23</v>
      </c>
      <c r="U26" s="277" t="s">
        <v>24</v>
      </c>
      <c r="V26" s="277" t="s">
        <v>25</v>
      </c>
      <c r="W26" s="277" t="s">
        <v>26</v>
      </c>
      <c r="X26" s="277" t="s">
        <v>24</v>
      </c>
      <c r="Y26" s="277" t="s">
        <v>25</v>
      </c>
      <c r="Z26" s="277" t="s">
        <v>26</v>
      </c>
      <c r="AA26" s="277" t="s">
        <v>24</v>
      </c>
      <c r="AB26" s="277" t="s">
        <v>25</v>
      </c>
      <c r="AC26" s="277" t="s">
        <v>26</v>
      </c>
      <c r="AD26" s="277" t="s">
        <v>24</v>
      </c>
      <c r="AE26" s="277" t="s">
        <v>25</v>
      </c>
      <c r="AF26" s="277" t="s">
        <v>26</v>
      </c>
      <c r="AG26" s="277" t="s">
        <v>24</v>
      </c>
      <c r="AH26" s="277" t="s">
        <v>25</v>
      </c>
      <c r="AI26" s="277" t="s">
        <v>26</v>
      </c>
      <c r="AJ26" s="277" t="s">
        <v>24</v>
      </c>
      <c r="AK26" s="277" t="s">
        <v>25</v>
      </c>
      <c r="AL26" s="277" t="s">
        <v>26</v>
      </c>
      <c r="AM26" s="306" t="s">
        <v>23</v>
      </c>
      <c r="AN26" s="274" t="s">
        <v>27</v>
      </c>
      <c r="AO26" s="274" t="s">
        <v>28</v>
      </c>
      <c r="AP26" s="306" t="s">
        <v>29</v>
      </c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 t="s">
        <v>30</v>
      </c>
    </row>
    <row r="27" spans="1:56" s="1470" customFormat="1" ht="22.95" customHeight="1">
      <c r="A27" s="125"/>
      <c r="B27" s="138">
        <v>7</v>
      </c>
      <c r="C27" s="196" t="s">
        <v>123</v>
      </c>
      <c r="D27" s="140"/>
      <c r="E27" s="141"/>
      <c r="F27" s="142" t="s">
        <v>124</v>
      </c>
      <c r="G27" s="186">
        <f>H27</f>
        <v>1470</v>
      </c>
      <c r="H27" s="1883">
        <v>1470</v>
      </c>
      <c r="I27" s="1884"/>
      <c r="J27" s="1885">
        <v>1535</v>
      </c>
      <c r="K27" s="1885"/>
      <c r="L27" s="1878" t="s">
        <v>102</v>
      </c>
      <c r="M27" s="1879"/>
      <c r="N27" s="1495" t="s">
        <v>104</v>
      </c>
      <c r="O27" s="1495" t="s">
        <v>104</v>
      </c>
      <c r="P27" s="1495" t="s">
        <v>104</v>
      </c>
      <c r="Q27" s="1510" t="str">
        <f>Q24</f>
        <v>16 กค.67</v>
      </c>
      <c r="R27" s="27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</row>
    <row r="28" spans="1:56" s="1470" customFormat="1" ht="22.95" customHeight="1">
      <c r="A28" s="125"/>
      <c r="B28" s="188"/>
      <c r="C28" s="190" t="s">
        <v>125</v>
      </c>
      <c r="D28" s="190"/>
      <c r="E28" s="190"/>
      <c r="F28" s="204"/>
      <c r="G28" s="205"/>
      <c r="H28" s="206"/>
      <c r="I28" s="258"/>
      <c r="J28" s="259"/>
      <c r="K28" s="260"/>
      <c r="L28" s="261"/>
      <c r="M28" s="262"/>
      <c r="N28" s="1496"/>
      <c r="O28" s="1496"/>
      <c r="P28" s="1496"/>
      <c r="Q28" s="296"/>
      <c r="R28" s="297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</row>
    <row r="29" spans="1:56" s="1470" customFormat="1" ht="21">
      <c r="A29" s="125"/>
      <c r="B29" s="1910" t="s">
        <v>95</v>
      </c>
      <c r="C29" s="1900" t="s">
        <v>96</v>
      </c>
      <c r="D29" s="130"/>
      <c r="E29" s="131"/>
      <c r="F29" s="1863" t="s">
        <v>11</v>
      </c>
      <c r="G29" s="132" t="s">
        <v>12</v>
      </c>
      <c r="H29" s="1858" t="s">
        <v>97</v>
      </c>
      <c r="I29" s="1859"/>
      <c r="J29" s="1859"/>
      <c r="K29" s="1859"/>
      <c r="L29" s="1859"/>
      <c r="M29" s="1860"/>
      <c r="N29" s="1886" t="s">
        <v>98</v>
      </c>
      <c r="O29" s="1887"/>
      <c r="P29" s="1888"/>
      <c r="Q29" s="1906" t="s">
        <v>99</v>
      </c>
      <c r="R29" s="1865" t="s">
        <v>100</v>
      </c>
      <c r="S29" s="125"/>
      <c r="T29" s="274" t="s">
        <v>17</v>
      </c>
      <c r="U29" s="1818" t="s">
        <v>18</v>
      </c>
      <c r="V29" s="1819"/>
      <c r="W29" s="1820"/>
      <c r="X29" s="1821" t="s">
        <v>19</v>
      </c>
      <c r="Y29" s="1822"/>
      <c r="Z29" s="1823"/>
      <c r="AA29" s="1818" t="s">
        <v>18</v>
      </c>
      <c r="AB29" s="1819"/>
      <c r="AC29" s="1820"/>
      <c r="AD29" s="1821" t="s">
        <v>19</v>
      </c>
      <c r="AE29" s="1822"/>
      <c r="AF29" s="1823"/>
      <c r="AG29" s="1818" t="s">
        <v>18</v>
      </c>
      <c r="AH29" s="1819"/>
      <c r="AI29" s="1820"/>
      <c r="AJ29" s="1821" t="s">
        <v>19</v>
      </c>
      <c r="AK29" s="1822"/>
      <c r="AL29" s="1823"/>
      <c r="AM29" s="306" t="s">
        <v>20</v>
      </c>
      <c r="AN29" s="274" t="s">
        <v>8</v>
      </c>
      <c r="AO29" s="274" t="s">
        <v>21</v>
      </c>
      <c r="AP29" s="306" t="s">
        <v>22</v>
      </c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</row>
    <row r="30" spans="1:56" s="1470" customFormat="1" ht="21">
      <c r="A30" s="125"/>
      <c r="B30" s="1911"/>
      <c r="C30" s="1868"/>
      <c r="D30" s="134"/>
      <c r="E30" s="135"/>
      <c r="F30" s="1864"/>
      <c r="G30" s="137" t="s">
        <v>31</v>
      </c>
      <c r="H30" s="1868" t="s">
        <v>104</v>
      </c>
      <c r="I30" s="1870"/>
      <c r="J30" s="1868" t="s">
        <v>104</v>
      </c>
      <c r="K30" s="1870"/>
      <c r="L30" s="1868" t="s">
        <v>102</v>
      </c>
      <c r="M30" s="1870"/>
      <c r="N30" s="264" t="s">
        <v>126</v>
      </c>
      <c r="O30" s="240" t="s">
        <v>127</v>
      </c>
      <c r="P30" s="228" t="s">
        <v>104</v>
      </c>
      <c r="Q30" s="1932"/>
      <c r="R30" s="1866"/>
      <c r="S30" s="125"/>
      <c r="T30" s="274" t="s">
        <v>23</v>
      </c>
      <c r="U30" s="277" t="s">
        <v>24</v>
      </c>
      <c r="V30" s="277" t="s">
        <v>25</v>
      </c>
      <c r="W30" s="277" t="s">
        <v>26</v>
      </c>
      <c r="X30" s="277" t="s">
        <v>24</v>
      </c>
      <c r="Y30" s="277" t="s">
        <v>25</v>
      </c>
      <c r="Z30" s="277" t="s">
        <v>26</v>
      </c>
      <c r="AA30" s="277" t="s">
        <v>24</v>
      </c>
      <c r="AB30" s="277" t="s">
        <v>25</v>
      </c>
      <c r="AC30" s="277" t="s">
        <v>26</v>
      </c>
      <c r="AD30" s="277" t="s">
        <v>24</v>
      </c>
      <c r="AE30" s="277" t="s">
        <v>25</v>
      </c>
      <c r="AF30" s="277" t="s">
        <v>26</v>
      </c>
      <c r="AG30" s="277" t="s">
        <v>24</v>
      </c>
      <c r="AH30" s="277" t="s">
        <v>25</v>
      </c>
      <c r="AI30" s="277" t="s">
        <v>26</v>
      </c>
      <c r="AJ30" s="277" t="s">
        <v>24</v>
      </c>
      <c r="AK30" s="277" t="s">
        <v>25</v>
      </c>
      <c r="AL30" s="277" t="s">
        <v>26</v>
      </c>
      <c r="AM30" s="306" t="s">
        <v>23</v>
      </c>
      <c r="AN30" s="274" t="s">
        <v>27</v>
      </c>
      <c r="AO30" s="274" t="s">
        <v>28</v>
      </c>
      <c r="AP30" s="306" t="s">
        <v>29</v>
      </c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 t="s">
        <v>30</v>
      </c>
    </row>
    <row r="31" spans="1:56" s="1470" customFormat="1" ht="22.95" customHeight="1">
      <c r="A31" s="125"/>
      <c r="B31" s="138">
        <v>8</v>
      </c>
      <c r="C31" s="196" t="s">
        <v>128</v>
      </c>
      <c r="D31" s="140"/>
      <c r="E31" s="141"/>
      <c r="F31" s="142" t="s">
        <v>124</v>
      </c>
      <c r="G31" s="207">
        <f>N31</f>
        <v>653.27</v>
      </c>
      <c r="H31" s="1878" t="s">
        <v>102</v>
      </c>
      <c r="I31" s="1879"/>
      <c r="J31" s="1878" t="s">
        <v>102</v>
      </c>
      <c r="K31" s="1879"/>
      <c r="L31" s="1878" t="s">
        <v>102</v>
      </c>
      <c r="M31" s="1879"/>
      <c r="N31" s="265">
        <v>653.27</v>
      </c>
      <c r="O31" s="266" t="s">
        <v>104</v>
      </c>
      <c r="P31" s="266" t="s">
        <v>104</v>
      </c>
      <c r="Q31" s="1510" t="str">
        <f>Q27</f>
        <v>16 กค.67</v>
      </c>
      <c r="R31" s="27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</row>
    <row r="32" spans="1:56" s="1470" customFormat="1" ht="22.95" customHeight="1">
      <c r="A32" s="125"/>
      <c r="B32" s="188"/>
      <c r="C32" s="190" t="s">
        <v>129</v>
      </c>
      <c r="D32" s="190"/>
      <c r="E32" s="190"/>
      <c r="F32" s="204"/>
      <c r="G32" s="205"/>
      <c r="H32" s="206"/>
      <c r="I32" s="258"/>
      <c r="J32" s="259"/>
      <c r="K32" s="260"/>
      <c r="L32" s="261"/>
      <c r="M32" s="262"/>
      <c r="N32" s="263"/>
      <c r="O32" s="263"/>
      <c r="P32" s="263"/>
      <c r="Q32" s="296"/>
      <c r="R32" s="297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</row>
    <row r="33" spans="1:56" s="1470" customFormat="1" ht="22.95" customHeight="1">
      <c r="A33" s="125"/>
      <c r="B33" s="1475"/>
      <c r="C33" s="1476"/>
      <c r="D33" s="1476"/>
      <c r="E33" s="1476"/>
      <c r="F33" s="1477"/>
      <c r="G33" s="1478"/>
      <c r="H33" s="1479"/>
      <c r="I33" s="1497"/>
      <c r="J33" s="1498"/>
      <c r="K33" s="1498"/>
      <c r="L33" s="1499"/>
      <c r="M33" s="1499"/>
      <c r="N33" s="1500"/>
      <c r="O33" s="1500"/>
      <c r="P33" s="1500"/>
      <c r="Q33" s="1513"/>
      <c r="R33" s="151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</row>
    <row r="34" spans="1:56" s="1470" customFormat="1" ht="22.95" customHeight="1">
      <c r="A34" s="125"/>
      <c r="B34" s="1475"/>
      <c r="C34" s="1476"/>
      <c r="D34" s="1476"/>
      <c r="E34" s="1476"/>
      <c r="F34" s="1477"/>
      <c r="G34" s="1478"/>
      <c r="H34" s="1479"/>
      <c r="I34" s="1497"/>
      <c r="J34" s="1498"/>
      <c r="K34" s="1498"/>
      <c r="L34" s="1499"/>
      <c r="M34" s="1499"/>
      <c r="N34" s="1500"/>
      <c r="O34" s="1500"/>
      <c r="P34" s="1500"/>
      <c r="Q34" s="1513"/>
      <c r="R34" s="1514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</row>
    <row r="35" spans="1:56" s="1470" customFormat="1" ht="22.95" customHeight="1">
      <c r="A35" s="125"/>
      <c r="B35" s="1475"/>
      <c r="C35" s="1476"/>
      <c r="D35" s="1476"/>
      <c r="E35" s="1476"/>
      <c r="F35" s="1477"/>
      <c r="G35" s="1478"/>
      <c r="H35" s="1479"/>
      <c r="I35" s="1497"/>
      <c r="J35" s="1498"/>
      <c r="K35" s="1498"/>
      <c r="L35" s="1499"/>
      <c r="M35" s="1499"/>
      <c r="N35" s="1500"/>
      <c r="O35" s="1500"/>
      <c r="P35" s="1500"/>
      <c r="Q35" s="1513"/>
      <c r="R35" s="1514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</row>
    <row r="36" spans="1:56" s="1470" customFormat="1" ht="22.95" customHeight="1">
      <c r="A36" s="125"/>
      <c r="B36" s="1475"/>
      <c r="C36" s="1476"/>
      <c r="D36" s="1476"/>
      <c r="E36" s="1476"/>
      <c r="F36" s="1477"/>
      <c r="G36" s="1478"/>
      <c r="H36" s="1479"/>
      <c r="I36" s="1497"/>
      <c r="J36" s="1498"/>
      <c r="K36" s="1498"/>
      <c r="L36" s="1499"/>
      <c r="M36" s="1499"/>
      <c r="N36" s="1500"/>
      <c r="O36" s="1500"/>
      <c r="P36" s="1500"/>
      <c r="Q36" s="126"/>
      <c r="R36" s="273" t="s">
        <v>130</v>
      </c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</row>
    <row r="37" spans="1:56" s="124" customFormat="1">
      <c r="A37" s="125"/>
      <c r="B37" s="1910" t="s">
        <v>95</v>
      </c>
      <c r="C37" s="1900" t="s">
        <v>96</v>
      </c>
      <c r="D37" s="130"/>
      <c r="E37" s="131"/>
      <c r="F37" s="1863" t="s">
        <v>11</v>
      </c>
      <c r="G37" s="132" t="s">
        <v>12</v>
      </c>
      <c r="H37" s="1858" t="s">
        <v>97</v>
      </c>
      <c r="I37" s="1859"/>
      <c r="J37" s="1859"/>
      <c r="K37" s="1859"/>
      <c r="L37" s="1859"/>
      <c r="M37" s="1860"/>
      <c r="N37" s="1886" t="s">
        <v>98</v>
      </c>
      <c r="O37" s="1887"/>
      <c r="P37" s="1888"/>
      <c r="Q37" s="1906" t="s">
        <v>99</v>
      </c>
      <c r="R37" s="1865" t="s">
        <v>100</v>
      </c>
      <c r="S37" s="125"/>
      <c r="T37" s="274" t="s">
        <v>17</v>
      </c>
      <c r="U37" s="1818" t="s">
        <v>18</v>
      </c>
      <c r="V37" s="1819"/>
      <c r="W37" s="1820"/>
      <c r="X37" s="1821" t="s">
        <v>19</v>
      </c>
      <c r="Y37" s="1822"/>
      <c r="Z37" s="1823"/>
      <c r="AA37" s="1818" t="s">
        <v>18</v>
      </c>
      <c r="AB37" s="1819"/>
      <c r="AC37" s="1820"/>
      <c r="AD37" s="1821" t="s">
        <v>19</v>
      </c>
      <c r="AE37" s="1822"/>
      <c r="AF37" s="1823"/>
      <c r="AG37" s="1818" t="s">
        <v>18</v>
      </c>
      <c r="AH37" s="1819"/>
      <c r="AI37" s="1820"/>
      <c r="AJ37" s="1821" t="s">
        <v>19</v>
      </c>
      <c r="AK37" s="1822"/>
      <c r="AL37" s="1823"/>
      <c r="AM37" s="306" t="s">
        <v>20</v>
      </c>
      <c r="AN37" s="274" t="s">
        <v>8</v>
      </c>
      <c r="AO37" s="274" t="s">
        <v>21</v>
      </c>
      <c r="AP37" s="306" t="s">
        <v>22</v>
      </c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</row>
    <row r="38" spans="1:56" s="1470" customFormat="1" ht="21">
      <c r="A38" s="125"/>
      <c r="B38" s="1913"/>
      <c r="C38" s="1889"/>
      <c r="D38" s="1270"/>
      <c r="E38" s="1271"/>
      <c r="F38" s="1929"/>
      <c r="G38" s="1273" t="s">
        <v>31</v>
      </c>
      <c r="H38" s="1889" t="s">
        <v>116</v>
      </c>
      <c r="I38" s="1890"/>
      <c r="J38" s="1889" t="s">
        <v>131</v>
      </c>
      <c r="K38" s="1890"/>
      <c r="L38" s="1889" t="s">
        <v>102</v>
      </c>
      <c r="M38" s="1890"/>
      <c r="N38" s="243" t="s">
        <v>126</v>
      </c>
      <c r="O38" s="243" t="s">
        <v>127</v>
      </c>
      <c r="P38" s="243" t="s">
        <v>104</v>
      </c>
      <c r="Q38" s="1933"/>
      <c r="R38" s="1891"/>
      <c r="S38" s="125"/>
      <c r="T38" s="274" t="s">
        <v>23</v>
      </c>
      <c r="U38" s="277" t="s">
        <v>24</v>
      </c>
      <c r="V38" s="277" t="s">
        <v>25</v>
      </c>
      <c r="W38" s="277" t="s">
        <v>26</v>
      </c>
      <c r="X38" s="277" t="s">
        <v>24</v>
      </c>
      <c r="Y38" s="277" t="s">
        <v>25</v>
      </c>
      <c r="Z38" s="277" t="s">
        <v>26</v>
      </c>
      <c r="AA38" s="277" t="s">
        <v>24</v>
      </c>
      <c r="AB38" s="277" t="s">
        <v>25</v>
      </c>
      <c r="AC38" s="277" t="s">
        <v>26</v>
      </c>
      <c r="AD38" s="277" t="s">
        <v>24</v>
      </c>
      <c r="AE38" s="277" t="s">
        <v>25</v>
      </c>
      <c r="AF38" s="277" t="s">
        <v>26</v>
      </c>
      <c r="AG38" s="277" t="s">
        <v>24</v>
      </c>
      <c r="AH38" s="277" t="s">
        <v>25</v>
      </c>
      <c r="AI38" s="277" t="s">
        <v>26</v>
      </c>
      <c r="AJ38" s="277" t="s">
        <v>24</v>
      </c>
      <c r="AK38" s="277" t="s">
        <v>25</v>
      </c>
      <c r="AL38" s="277" t="s">
        <v>26</v>
      </c>
      <c r="AM38" s="306" t="s">
        <v>23</v>
      </c>
      <c r="AN38" s="274" t="s">
        <v>27</v>
      </c>
      <c r="AO38" s="274" t="s">
        <v>28</v>
      </c>
      <c r="AP38" s="306" t="s">
        <v>29</v>
      </c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 t="s">
        <v>30</v>
      </c>
    </row>
    <row r="39" spans="1:56" s="1470" customFormat="1" ht="21">
      <c r="A39" s="125"/>
      <c r="B39" s="168"/>
      <c r="C39" s="1088" t="s">
        <v>132</v>
      </c>
      <c r="D39" s="170"/>
      <c r="E39" s="171"/>
      <c r="F39" s="149" t="s">
        <v>133</v>
      </c>
      <c r="G39" s="1480">
        <v>1588.79</v>
      </c>
      <c r="H39" s="169"/>
      <c r="I39" s="171"/>
      <c r="J39" s="169"/>
      <c r="K39" s="171"/>
      <c r="L39" s="169"/>
      <c r="M39" s="171"/>
      <c r="N39" s="267"/>
      <c r="O39" s="1501" t="s">
        <v>134</v>
      </c>
      <c r="P39" s="267"/>
      <c r="Q39" s="246"/>
      <c r="R39" s="287"/>
      <c r="S39" s="125"/>
      <c r="T39" s="288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289"/>
      <c r="AK39" s="289"/>
      <c r="AL39" s="289"/>
      <c r="AM39" s="309"/>
      <c r="AN39" s="288"/>
      <c r="AO39" s="288"/>
      <c r="AP39" s="309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</row>
    <row r="40" spans="1:56" s="1470" customFormat="1" ht="21">
      <c r="A40" s="125"/>
      <c r="B40" s="168"/>
      <c r="C40" s="1088" t="s">
        <v>135</v>
      </c>
      <c r="D40" s="170"/>
      <c r="E40" s="171"/>
      <c r="F40" s="149" t="s">
        <v>133</v>
      </c>
      <c r="G40" s="1480">
        <v>1331.78</v>
      </c>
      <c r="H40" s="169"/>
      <c r="I40" s="171"/>
      <c r="J40" s="169"/>
      <c r="K40" s="171"/>
      <c r="L40" s="169"/>
      <c r="M40" s="171"/>
      <c r="N40" s="267" t="s">
        <v>136</v>
      </c>
      <c r="O40" s="267"/>
      <c r="P40" s="267"/>
      <c r="Q40" s="246"/>
      <c r="R40" s="287"/>
      <c r="S40" s="125"/>
      <c r="T40" s="288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  <c r="AE40" s="289"/>
      <c r="AF40" s="289"/>
      <c r="AG40" s="289"/>
      <c r="AH40" s="289"/>
      <c r="AI40" s="289"/>
      <c r="AJ40" s="289"/>
      <c r="AK40" s="289"/>
      <c r="AL40" s="289"/>
      <c r="AM40" s="309"/>
      <c r="AN40" s="288"/>
      <c r="AO40" s="288"/>
      <c r="AP40" s="309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</row>
    <row r="41" spans="1:56" s="1470" customFormat="1" ht="21">
      <c r="A41" s="125"/>
      <c r="B41" s="168"/>
      <c r="C41" s="1088" t="s">
        <v>137</v>
      </c>
      <c r="D41" s="170"/>
      <c r="E41" s="171"/>
      <c r="F41" s="149" t="s">
        <v>133</v>
      </c>
      <c r="G41" s="1480">
        <v>710.28</v>
      </c>
      <c r="H41" s="169">
        <v>82.2</v>
      </c>
      <c r="I41" s="171"/>
      <c r="J41" s="169">
        <v>68.7</v>
      </c>
      <c r="K41" s="171"/>
      <c r="L41" s="169"/>
      <c r="M41" s="171"/>
      <c r="N41" s="267"/>
      <c r="O41" s="267"/>
      <c r="P41" s="267"/>
      <c r="Q41" s="246"/>
      <c r="R41" s="287"/>
      <c r="S41" s="125"/>
      <c r="T41" s="288"/>
      <c r="U41" s="289"/>
      <c r="V41" s="289"/>
      <c r="W41" s="289"/>
      <c r="X41" s="289"/>
      <c r="Y41" s="289"/>
      <c r="Z41" s="289"/>
      <c r="AA41" s="289"/>
      <c r="AB41" s="289"/>
      <c r="AC41" s="289"/>
      <c r="AD41" s="289"/>
      <c r="AE41" s="289"/>
      <c r="AF41" s="289"/>
      <c r="AG41" s="289"/>
      <c r="AH41" s="289"/>
      <c r="AI41" s="289"/>
      <c r="AJ41" s="289"/>
      <c r="AK41" s="289"/>
      <c r="AL41" s="289"/>
      <c r="AM41" s="309"/>
      <c r="AN41" s="288"/>
      <c r="AO41" s="288"/>
      <c r="AP41" s="309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</row>
    <row r="42" spans="1:56" s="1470" customFormat="1" ht="21">
      <c r="A42" s="125"/>
      <c r="B42" s="168"/>
      <c r="C42" s="1088" t="s">
        <v>138</v>
      </c>
      <c r="D42" s="170"/>
      <c r="E42" s="171"/>
      <c r="F42" s="149" t="s">
        <v>133</v>
      </c>
      <c r="G42" s="1480">
        <v>523.36</v>
      </c>
      <c r="H42" s="169"/>
      <c r="I42" s="171"/>
      <c r="J42" s="169"/>
      <c r="K42" s="171"/>
      <c r="L42" s="169"/>
      <c r="M42" s="171"/>
      <c r="N42" s="267"/>
      <c r="O42" s="267"/>
      <c r="P42" s="267"/>
      <c r="Q42" s="246"/>
      <c r="R42" s="287"/>
      <c r="S42" s="125"/>
      <c r="T42" s="288"/>
      <c r="U42" s="289"/>
      <c r="V42" s="289"/>
      <c r="W42" s="289"/>
      <c r="X42" s="289"/>
      <c r="Y42" s="289"/>
      <c r="Z42" s="289"/>
      <c r="AA42" s="289"/>
      <c r="AB42" s="289"/>
      <c r="AC42" s="289"/>
      <c r="AD42" s="289"/>
      <c r="AE42" s="289"/>
      <c r="AF42" s="289"/>
      <c r="AG42" s="289"/>
      <c r="AH42" s="289"/>
      <c r="AI42" s="289"/>
      <c r="AJ42" s="289"/>
      <c r="AK42" s="289"/>
      <c r="AL42" s="289"/>
      <c r="AM42" s="309"/>
      <c r="AN42" s="288"/>
      <c r="AO42" s="288"/>
      <c r="AP42" s="309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</row>
    <row r="43" spans="1:56" s="1470" customFormat="1" ht="21">
      <c r="A43" s="125"/>
      <c r="B43" s="168"/>
      <c r="C43" s="1088" t="s">
        <v>139</v>
      </c>
      <c r="D43" s="170"/>
      <c r="E43" s="171"/>
      <c r="F43" s="149" t="s">
        <v>133</v>
      </c>
      <c r="G43" s="1481">
        <f>G31</f>
        <v>653.27</v>
      </c>
      <c r="H43" s="169"/>
      <c r="I43" s="171"/>
      <c r="J43" s="169"/>
      <c r="K43" s="171"/>
      <c r="L43" s="169"/>
      <c r="M43" s="171"/>
      <c r="N43" s="267"/>
      <c r="O43" s="267"/>
      <c r="P43" s="267"/>
      <c r="Q43" s="246"/>
      <c r="R43" s="287"/>
      <c r="S43" s="125"/>
      <c r="T43" s="288"/>
      <c r="U43" s="289"/>
      <c r="V43" s="289"/>
      <c r="W43" s="289"/>
      <c r="X43" s="289"/>
      <c r="Y43" s="289"/>
      <c r="Z43" s="289"/>
      <c r="AA43" s="289"/>
      <c r="AB43" s="289"/>
      <c r="AC43" s="289"/>
      <c r="AD43" s="289"/>
      <c r="AE43" s="289"/>
      <c r="AF43" s="289"/>
      <c r="AG43" s="289"/>
      <c r="AH43" s="289"/>
      <c r="AI43" s="289"/>
      <c r="AJ43" s="289"/>
      <c r="AK43" s="289"/>
      <c r="AL43" s="289"/>
      <c r="AM43" s="309"/>
      <c r="AN43" s="288"/>
      <c r="AO43" s="288"/>
      <c r="AP43" s="309"/>
      <c r="AQ43" s="125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</row>
    <row r="44" spans="1:56" s="1470" customFormat="1" ht="21">
      <c r="A44" s="125"/>
      <c r="B44" s="168"/>
      <c r="C44" s="1186" t="s">
        <v>140</v>
      </c>
      <c r="D44" s="170"/>
      <c r="E44" s="171"/>
      <c r="F44" s="149" t="s">
        <v>133</v>
      </c>
      <c r="G44" s="1481">
        <v>325</v>
      </c>
      <c r="H44" s="169"/>
      <c r="I44" s="171"/>
      <c r="J44" s="169"/>
      <c r="K44" s="171"/>
      <c r="L44" s="169"/>
      <c r="M44" s="171"/>
      <c r="N44" s="267"/>
      <c r="O44" s="267"/>
      <c r="P44" s="267"/>
      <c r="Q44" s="246"/>
      <c r="R44" s="287"/>
      <c r="S44" s="125"/>
      <c r="T44" s="288"/>
      <c r="U44" s="289"/>
      <c r="V44" s="289"/>
      <c r="W44" s="289"/>
      <c r="X44" s="289"/>
      <c r="Y44" s="289"/>
      <c r="Z44" s="289"/>
      <c r="AA44" s="289"/>
      <c r="AB44" s="289"/>
      <c r="AC44" s="289"/>
      <c r="AD44" s="289"/>
      <c r="AE44" s="289"/>
      <c r="AF44" s="289"/>
      <c r="AG44" s="289"/>
      <c r="AH44" s="289"/>
      <c r="AI44" s="289"/>
      <c r="AJ44" s="289"/>
      <c r="AK44" s="289"/>
      <c r="AL44" s="289"/>
      <c r="AM44" s="309"/>
      <c r="AN44" s="288"/>
      <c r="AO44" s="288"/>
      <c r="AP44" s="309"/>
      <c r="AQ44" s="125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</row>
    <row r="45" spans="1:56" s="1470" customFormat="1" ht="21">
      <c r="A45" s="125"/>
      <c r="B45" s="168"/>
      <c r="C45" s="169"/>
      <c r="D45" s="170"/>
      <c r="E45" s="171"/>
      <c r="F45" s="172"/>
      <c r="G45" s="173"/>
      <c r="H45" s="169"/>
      <c r="I45" s="171"/>
      <c r="J45" s="169"/>
      <c r="K45" s="171"/>
      <c r="L45" s="169"/>
      <c r="M45" s="171"/>
      <c r="N45" s="267"/>
      <c r="O45" s="267"/>
      <c r="P45" s="267"/>
      <c r="Q45" s="246"/>
      <c r="R45" s="287"/>
      <c r="S45" s="125"/>
      <c r="T45" s="288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289"/>
      <c r="AK45" s="289"/>
      <c r="AL45" s="289"/>
      <c r="AM45" s="309"/>
      <c r="AN45" s="288"/>
      <c r="AO45" s="288"/>
      <c r="AP45" s="309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</row>
    <row r="46" spans="1:56" s="1470" customFormat="1" ht="22.95" customHeight="1">
      <c r="A46" s="125"/>
      <c r="B46" s="208">
        <v>9</v>
      </c>
      <c r="C46" s="209" t="s">
        <v>141</v>
      </c>
      <c r="D46" s="209"/>
      <c r="E46" s="209"/>
      <c r="F46" s="210" t="s">
        <v>118</v>
      </c>
      <c r="G46" s="211">
        <f>H46</f>
        <v>935</v>
      </c>
      <c r="H46" s="1894">
        <v>935</v>
      </c>
      <c r="I46" s="1894"/>
      <c r="J46" s="1895">
        <v>971</v>
      </c>
      <c r="K46" s="1895"/>
      <c r="L46" s="1896" t="s">
        <v>102</v>
      </c>
      <c r="M46" s="1897"/>
      <c r="N46" s="269" t="s">
        <v>102</v>
      </c>
      <c r="O46" s="269" t="s">
        <v>102</v>
      </c>
      <c r="P46" s="269" t="s">
        <v>102</v>
      </c>
      <c r="Q46" s="1515" t="str">
        <f>Q27</f>
        <v>16 กค.67</v>
      </c>
      <c r="R46" s="298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</row>
    <row r="47" spans="1:56" s="1470" customFormat="1" ht="22.95" customHeight="1">
      <c r="A47" s="125"/>
      <c r="B47" s="145"/>
      <c r="C47" s="146" t="s">
        <v>142</v>
      </c>
      <c r="D47" s="147"/>
      <c r="E47" s="148"/>
      <c r="F47" s="149"/>
      <c r="G47" s="212"/>
      <c r="H47" s="213"/>
      <c r="I47" s="270"/>
      <c r="J47" s="236"/>
      <c r="K47" s="235"/>
      <c r="L47" s="1892" t="s">
        <v>102</v>
      </c>
      <c r="M47" s="1893"/>
      <c r="N47" s="234" t="s">
        <v>102</v>
      </c>
      <c r="O47" s="234" t="s">
        <v>102</v>
      </c>
      <c r="P47" s="234" t="s">
        <v>102</v>
      </c>
      <c r="Q47" s="233"/>
      <c r="R47" s="299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</row>
    <row r="48" spans="1:56" s="1470" customFormat="1" ht="22.95" customHeight="1">
      <c r="A48" s="125"/>
      <c r="B48" s="145">
        <v>10</v>
      </c>
      <c r="C48" s="146" t="s">
        <v>143</v>
      </c>
      <c r="D48" s="147"/>
      <c r="E48" s="148"/>
      <c r="F48" s="149" t="s">
        <v>133</v>
      </c>
      <c r="G48" s="150">
        <f>I48</f>
        <v>351</v>
      </c>
      <c r="H48" s="151"/>
      <c r="I48" s="237">
        <v>351</v>
      </c>
      <c r="J48" s="236"/>
      <c r="K48" s="235">
        <v>342</v>
      </c>
      <c r="L48" s="1892" t="s">
        <v>102</v>
      </c>
      <c r="M48" s="1893"/>
      <c r="N48" s="234" t="s">
        <v>102</v>
      </c>
      <c r="O48" s="234" t="s">
        <v>102</v>
      </c>
      <c r="P48" s="234" t="s">
        <v>102</v>
      </c>
      <c r="Q48" s="1516" t="str">
        <f>Q46</f>
        <v>16 กค.67</v>
      </c>
      <c r="R48" s="299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</row>
    <row r="49" spans="1:57" s="124" customFormat="1" ht="22.95" customHeight="1">
      <c r="A49" s="125"/>
      <c r="B49" s="188">
        <v>11</v>
      </c>
      <c r="C49" s="214" t="s">
        <v>144</v>
      </c>
      <c r="D49" s="190"/>
      <c r="E49" s="191"/>
      <c r="F49" s="204" t="s">
        <v>133</v>
      </c>
      <c r="G49" s="215">
        <f>N49</f>
        <v>157.01</v>
      </c>
      <c r="H49" s="1898" t="s">
        <v>102</v>
      </c>
      <c r="I49" s="1899"/>
      <c r="J49" s="1898" t="s">
        <v>102</v>
      </c>
      <c r="K49" s="1899"/>
      <c r="L49" s="1898" t="s">
        <v>102</v>
      </c>
      <c r="M49" s="1899"/>
      <c r="N49" s="215">
        <v>157.01</v>
      </c>
      <c r="O49" s="239" t="s">
        <v>102</v>
      </c>
      <c r="P49" s="239" t="s">
        <v>102</v>
      </c>
      <c r="Q49" s="1517" t="str">
        <f>Q46</f>
        <v>16 กค.67</v>
      </c>
      <c r="R49" s="281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</row>
    <row r="50" spans="1:57" customFormat="1" ht="22.95" customHeight="1">
      <c r="B50" s="1914" t="s">
        <v>95</v>
      </c>
      <c r="C50" s="1922" t="s">
        <v>96</v>
      </c>
      <c r="D50" s="1923"/>
      <c r="E50" s="1924"/>
      <c r="F50" s="1930" t="s">
        <v>11</v>
      </c>
      <c r="G50" s="132" t="s">
        <v>12</v>
      </c>
      <c r="H50" s="1858" t="s">
        <v>97</v>
      </c>
      <c r="I50" s="1859"/>
      <c r="J50" s="1859"/>
      <c r="K50" s="1859"/>
      <c r="L50" s="1859"/>
      <c r="M50" s="1860"/>
      <c r="N50" s="1901" t="s">
        <v>98</v>
      </c>
      <c r="O50" s="1902"/>
      <c r="P50" s="1903"/>
      <c r="Q50" s="1906" t="s">
        <v>99</v>
      </c>
      <c r="R50" s="1865" t="s">
        <v>100</v>
      </c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</row>
    <row r="51" spans="1:57" customFormat="1" ht="22.95" customHeight="1">
      <c r="B51" s="1915"/>
      <c r="C51" s="1925"/>
      <c r="D51" s="1926"/>
      <c r="E51" s="1927"/>
      <c r="F51" s="1931"/>
      <c r="G51" s="173" t="s">
        <v>31</v>
      </c>
      <c r="H51" s="1904" t="s">
        <v>116</v>
      </c>
      <c r="I51" s="1905"/>
      <c r="J51" s="1904" t="s">
        <v>115</v>
      </c>
      <c r="K51" s="1905"/>
      <c r="L51" s="1904" t="s">
        <v>102</v>
      </c>
      <c r="M51" s="1905"/>
      <c r="N51" s="267" t="s">
        <v>126</v>
      </c>
      <c r="O51" s="267" t="s">
        <v>104</v>
      </c>
      <c r="P51" s="267" t="s">
        <v>104</v>
      </c>
      <c r="Q51" s="1907"/>
      <c r="R51" s="1874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</row>
    <row r="52" spans="1:57" customFormat="1" ht="22.95" customHeight="1">
      <c r="B52" s="208">
        <v>5</v>
      </c>
      <c r="C52" s="1482" t="s">
        <v>145</v>
      </c>
      <c r="D52" s="1483"/>
      <c r="E52" s="1484"/>
      <c r="F52" s="210" t="s">
        <v>146</v>
      </c>
      <c r="G52" s="211">
        <v>44</v>
      </c>
      <c r="H52" s="1894">
        <f>220/5</f>
        <v>44</v>
      </c>
      <c r="I52" s="1894"/>
      <c r="J52" s="1895">
        <v>44</v>
      </c>
      <c r="K52" s="1895"/>
      <c r="L52" s="1896" t="s">
        <v>102</v>
      </c>
      <c r="M52" s="1897"/>
      <c r="N52" s="269" t="s">
        <v>102</v>
      </c>
      <c r="O52" s="269" t="s">
        <v>102</v>
      </c>
      <c r="P52" s="269" t="s">
        <v>102</v>
      </c>
      <c r="Q52" s="1518" t="s">
        <v>147</v>
      </c>
      <c r="R52" s="298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</row>
    <row r="53" spans="1:57" customFormat="1" ht="22.95" customHeight="1">
      <c r="B53" s="138"/>
      <c r="C53" s="196" t="s">
        <v>148</v>
      </c>
      <c r="D53" s="140"/>
      <c r="E53" s="141"/>
      <c r="F53" s="149" t="s">
        <v>51</v>
      </c>
      <c r="G53" s="1485">
        <f>K53</f>
        <v>5.95</v>
      </c>
      <c r="H53" s="1486"/>
      <c r="I53" s="1502" t="s">
        <v>104</v>
      </c>
      <c r="J53" s="1503"/>
      <c r="K53" s="1504">
        <f>วัสดุมวลรวมปูกระเบื้อง!I15/20</f>
        <v>5.95</v>
      </c>
      <c r="L53" s="232"/>
      <c r="M53" s="233"/>
      <c r="N53" s="234"/>
      <c r="O53" s="234"/>
      <c r="P53" s="234"/>
      <c r="Q53" s="1519"/>
      <c r="R53" s="278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</row>
    <row r="54" spans="1:57" customFormat="1" ht="22.95" customHeight="1">
      <c r="B54" s="138"/>
      <c r="C54" s="196" t="s">
        <v>149</v>
      </c>
      <c r="D54" s="140"/>
      <c r="E54" s="141"/>
      <c r="F54" s="149" t="s">
        <v>51</v>
      </c>
      <c r="G54" s="1485">
        <f>K54</f>
        <v>22</v>
      </c>
      <c r="H54" s="1486"/>
      <c r="I54" s="1502" t="s">
        <v>104</v>
      </c>
      <c r="J54" s="1503"/>
      <c r="K54" s="1504">
        <v>22</v>
      </c>
      <c r="L54" s="232"/>
      <c r="M54" s="233"/>
      <c r="N54" s="234"/>
      <c r="O54" s="234"/>
      <c r="P54" s="234"/>
      <c r="Q54" s="1519"/>
      <c r="R54" s="278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</row>
    <row r="55" spans="1:57" customFormat="1" ht="22.95" customHeight="1">
      <c r="B55" s="138"/>
      <c r="C55" s="196"/>
      <c r="D55" s="140"/>
      <c r="E55" s="141"/>
      <c r="F55" s="142"/>
      <c r="G55" s="1485"/>
      <c r="H55" s="1486"/>
      <c r="I55" s="1502" t="s">
        <v>104</v>
      </c>
      <c r="J55" s="1503"/>
      <c r="K55" s="1502"/>
      <c r="L55" s="232"/>
      <c r="M55" s="233"/>
      <c r="N55" s="234"/>
      <c r="O55" s="234"/>
      <c r="P55" s="234"/>
      <c r="Q55" s="1519"/>
      <c r="R55" s="278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</row>
    <row r="56" spans="1:57" customFormat="1" ht="22.95" customHeight="1">
      <c r="B56" s="145">
        <v>6</v>
      </c>
      <c r="C56" s="146" t="s">
        <v>150</v>
      </c>
      <c r="D56" s="147"/>
      <c r="E56" s="148"/>
      <c r="F56" s="149" t="s">
        <v>151</v>
      </c>
      <c r="G56" s="150">
        <f>K56</f>
        <v>379</v>
      </c>
      <c r="H56" s="151"/>
      <c r="I56" s="1502" t="s">
        <v>104</v>
      </c>
      <c r="J56" s="236"/>
      <c r="K56" s="237">
        <v>379</v>
      </c>
      <c r="L56" s="1892" t="s">
        <v>102</v>
      </c>
      <c r="M56" s="1893"/>
      <c r="N56" s="234" t="s">
        <v>102</v>
      </c>
      <c r="O56" s="234" t="s">
        <v>102</v>
      </c>
      <c r="P56" s="234" t="s">
        <v>102</v>
      </c>
      <c r="Q56" s="1519" t="s">
        <v>147</v>
      </c>
      <c r="R56" s="299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</row>
    <row r="57" spans="1:57" customFormat="1" ht="22.95" customHeight="1">
      <c r="B57" s="145">
        <v>7</v>
      </c>
      <c r="C57" s="146" t="s">
        <v>144</v>
      </c>
      <c r="D57" s="147"/>
      <c r="E57" s="148"/>
      <c r="F57" s="149" t="s">
        <v>133</v>
      </c>
      <c r="G57" s="1487">
        <v>157.01</v>
      </c>
      <c r="H57" s="1892" t="s">
        <v>102</v>
      </c>
      <c r="I57" s="1893"/>
      <c r="J57" s="1892" t="s">
        <v>102</v>
      </c>
      <c r="K57" s="1893"/>
      <c r="L57" s="1892" t="s">
        <v>102</v>
      </c>
      <c r="M57" s="1893"/>
      <c r="N57" s="1487">
        <v>157.01</v>
      </c>
      <c r="O57" s="234" t="s">
        <v>102</v>
      </c>
      <c r="P57" s="234" t="s">
        <v>102</v>
      </c>
      <c r="Q57" s="1520" t="s">
        <v>147</v>
      </c>
      <c r="R57" s="299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</row>
    <row r="58" spans="1:57" customFormat="1" ht="22.95" customHeight="1">
      <c r="B58" s="138">
        <v>8</v>
      </c>
      <c r="C58" s="1488" t="s">
        <v>152</v>
      </c>
      <c r="D58" s="196"/>
      <c r="E58" s="141"/>
      <c r="F58" s="142" t="s">
        <v>47</v>
      </c>
      <c r="G58" s="1485">
        <v>930</v>
      </c>
      <c r="H58" s="1908">
        <v>930</v>
      </c>
      <c r="I58" s="1908"/>
      <c r="J58" s="1909">
        <v>971</v>
      </c>
      <c r="K58" s="1909"/>
      <c r="L58" s="1892" t="s">
        <v>102</v>
      </c>
      <c r="M58" s="1893"/>
      <c r="N58" s="234" t="s">
        <v>102</v>
      </c>
      <c r="O58" s="234" t="s">
        <v>102</v>
      </c>
      <c r="P58" s="234" t="s">
        <v>102</v>
      </c>
      <c r="Q58" s="1521" t="s">
        <v>147</v>
      </c>
      <c r="R58" s="278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</row>
    <row r="59" spans="1:57" customFormat="1" ht="22.95" customHeight="1">
      <c r="B59" s="145">
        <v>9</v>
      </c>
      <c r="C59" s="146" t="s">
        <v>143</v>
      </c>
      <c r="D59" s="147"/>
      <c r="E59" s="148"/>
      <c r="F59" s="149" t="s">
        <v>133</v>
      </c>
      <c r="G59" s="150">
        <v>332</v>
      </c>
      <c r="H59" s="151"/>
      <c r="I59" s="237">
        <v>332</v>
      </c>
      <c r="J59" s="236"/>
      <c r="K59" s="235">
        <v>342</v>
      </c>
      <c r="L59" s="1892" t="s">
        <v>102</v>
      </c>
      <c r="M59" s="1893"/>
      <c r="N59" s="234" t="s">
        <v>102</v>
      </c>
      <c r="O59" s="234" t="s">
        <v>102</v>
      </c>
      <c r="P59" s="234" t="s">
        <v>102</v>
      </c>
      <c r="Q59" s="1521" t="s">
        <v>147</v>
      </c>
      <c r="R59" s="299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</row>
    <row r="60" spans="1:57" customFormat="1" ht="22.95" customHeight="1">
      <c r="B60" s="188">
        <v>10</v>
      </c>
      <c r="C60" s="214" t="s">
        <v>144</v>
      </c>
      <c r="D60" s="190"/>
      <c r="E60" s="191"/>
      <c r="F60" s="204" t="s">
        <v>133</v>
      </c>
      <c r="G60" s="215">
        <v>157.01</v>
      </c>
      <c r="H60" s="1898" t="s">
        <v>102</v>
      </c>
      <c r="I60" s="1899"/>
      <c r="J60" s="1898" t="s">
        <v>102</v>
      </c>
      <c r="K60" s="1899"/>
      <c r="L60" s="1898" t="s">
        <v>102</v>
      </c>
      <c r="M60" s="1899"/>
      <c r="N60" s="215">
        <v>157.01</v>
      </c>
      <c r="O60" s="239" t="s">
        <v>102</v>
      </c>
      <c r="P60" s="239" t="s">
        <v>102</v>
      </c>
      <c r="Q60" s="1522" t="s">
        <v>147</v>
      </c>
      <c r="R60" s="281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</row>
    <row r="61" spans="1:57" s="124" customFormat="1" ht="30.6" customHeight="1">
      <c r="A61" s="125"/>
      <c r="B61" s="124" t="s">
        <v>153</v>
      </c>
      <c r="C61" s="216"/>
      <c r="D61" s="216"/>
      <c r="E61" s="216"/>
      <c r="F61" s="217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6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 t="s">
        <v>30</v>
      </c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</row>
    <row r="62" spans="1:57" s="1470" customFormat="1" ht="21">
      <c r="A62" s="125"/>
      <c r="B62" s="218" t="s">
        <v>154</v>
      </c>
      <c r="C62" s="125"/>
      <c r="D62" s="125"/>
      <c r="E62" s="125"/>
      <c r="F62" s="124" t="str">
        <f>'[67]ม.6ท่อ คสล.0.60ม.'!B34</f>
        <v>- ตามคำสั่งองค์การบริหารส่วนตำบลเลขที่ 266/2567</v>
      </c>
      <c r="G62" s="125"/>
      <c r="H62" s="125"/>
      <c r="I62" s="125"/>
      <c r="J62" s="124" t="str">
        <f>'[67]ม.6ท่อ คสล.0.60ม.'!G34</f>
        <v>ลงวันที่ 11 เดือนมิถุนายน พ.ศ. 2567</v>
      </c>
      <c r="K62" s="125"/>
      <c r="L62" s="125"/>
      <c r="M62" s="1505" t="s">
        <v>155</v>
      </c>
      <c r="N62" s="1506" t="s">
        <v>156</v>
      </c>
      <c r="O62" s="125"/>
      <c r="P62" s="125"/>
      <c r="Q62" s="126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</row>
    <row r="63" spans="1:57" s="1470" customFormat="1" ht="21">
      <c r="A63" s="125"/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6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</row>
    <row r="64" spans="1:57" s="1470" customFormat="1" ht="21">
      <c r="A64" s="125"/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6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125"/>
      <c r="AT64" s="125"/>
      <c r="AU64" s="125"/>
      <c r="AV64" s="125"/>
      <c r="AW64" s="125"/>
      <c r="AX64" s="125"/>
      <c r="AY64" s="125"/>
      <c r="AZ64" s="125"/>
      <c r="BA64" s="125"/>
      <c r="BB64" s="125"/>
      <c r="BC64" s="125"/>
      <c r="BD64" s="125"/>
    </row>
    <row r="65" spans="1:56" s="1470" customFormat="1" ht="21">
      <c r="A65" s="125"/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6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  <c r="AY65" s="125"/>
      <c r="AZ65" s="125"/>
      <c r="BA65" s="125"/>
      <c r="BB65" s="125"/>
      <c r="BC65" s="125"/>
      <c r="BD65" s="125"/>
    </row>
    <row r="66" spans="1:56" s="1470" customFormat="1" ht="21">
      <c r="A66" s="125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6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5"/>
    </row>
    <row r="67" spans="1:56" customFormat="1" ht="30.6" customHeight="1">
      <c r="A67" s="127" t="s">
        <v>153</v>
      </c>
      <c r="B67" s="1523"/>
      <c r="C67" s="1523"/>
      <c r="D67" s="1523"/>
      <c r="E67" s="1524"/>
      <c r="F67" s="1472"/>
      <c r="G67" s="1472"/>
      <c r="H67" s="1472"/>
      <c r="I67" s="1472"/>
      <c r="J67" s="1472"/>
      <c r="K67" s="1472"/>
      <c r="L67" s="1472"/>
      <c r="M67" s="1472"/>
      <c r="N67" s="1472"/>
      <c r="O67" s="125"/>
      <c r="P67" s="126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 t="s">
        <v>30</v>
      </c>
      <c r="AE67" s="125"/>
      <c r="AF67" s="125"/>
      <c r="AG67" s="125"/>
      <c r="AH67" s="125"/>
      <c r="AI67" s="125"/>
      <c r="AJ67" s="125"/>
      <c r="AK67" s="125"/>
      <c r="AL67" s="125"/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  <c r="AY67" s="125"/>
      <c r="AZ67" s="125"/>
      <c r="BA67" s="125"/>
      <c r="BB67" s="125"/>
      <c r="BC67" s="125"/>
    </row>
    <row r="68" spans="1:56" customFormat="1" ht="21">
      <c r="A68" s="1525" t="s">
        <v>157</v>
      </c>
      <c r="B68" s="1472"/>
      <c r="C68" s="1526" t="s">
        <v>158</v>
      </c>
      <c r="D68" s="125"/>
      <c r="E68" s="125"/>
      <c r="F68" s="1472"/>
      <c r="G68" s="1472"/>
      <c r="H68" s="127" t="s">
        <v>159</v>
      </c>
      <c r="I68" s="125"/>
      <c r="J68" s="1472"/>
      <c r="K68" s="127" t="s">
        <v>160</v>
      </c>
      <c r="L68" s="125"/>
      <c r="M68" s="127" t="s">
        <v>94</v>
      </c>
      <c r="N68" s="125"/>
      <c r="O68" s="125"/>
      <c r="P68" s="126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  <c r="AN68" s="125"/>
      <c r="AO68" s="125"/>
      <c r="AP68" s="125"/>
      <c r="AQ68" s="125"/>
      <c r="AR68" s="125"/>
      <c r="AS68" s="125"/>
      <c r="AT68" s="125"/>
      <c r="AU68" s="125"/>
      <c r="AV68" s="125"/>
      <c r="AW68" s="125"/>
      <c r="AX68" s="125"/>
      <c r="AY68" s="125"/>
      <c r="AZ68" s="125"/>
      <c r="BA68" s="125"/>
      <c r="BB68" s="125"/>
      <c r="BC68" s="125"/>
      <c r="BD68" s="125"/>
    </row>
    <row r="69" spans="1:56" customFormat="1" ht="21">
      <c r="A69" s="1525"/>
      <c r="B69" s="1527"/>
      <c r="C69" s="1527"/>
      <c r="D69" s="1527"/>
      <c r="E69" s="1472"/>
      <c r="F69" s="1472"/>
      <c r="G69" s="1472"/>
      <c r="H69" s="1472"/>
      <c r="I69" s="1472"/>
      <c r="J69" s="1472"/>
      <c r="K69" s="1472"/>
      <c r="L69" s="1472"/>
      <c r="M69" s="1535"/>
      <c r="N69" s="1535"/>
      <c r="O69" s="271"/>
      <c r="P69" s="301"/>
      <c r="Q69" s="302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</row>
    <row r="70" spans="1:56" customFormat="1" ht="21">
      <c r="A70" s="1528"/>
      <c r="B70" s="1529"/>
      <c r="C70" s="1529"/>
      <c r="D70" s="1529"/>
      <c r="E70" s="1530"/>
      <c r="F70" s="1531" t="s">
        <v>161</v>
      </c>
      <c r="G70" s="127"/>
      <c r="H70" s="127"/>
      <c r="I70" s="1472"/>
      <c r="J70" s="1472"/>
      <c r="K70" s="1531"/>
      <c r="L70" s="1531"/>
      <c r="M70" s="127"/>
      <c r="N70" s="127"/>
      <c r="O70" s="124"/>
      <c r="P70" s="303"/>
      <c r="Q70" s="221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</row>
    <row r="71" spans="1:56" customFormat="1" ht="26.4" customHeight="1">
      <c r="A71" s="1532"/>
      <c r="B71" s="1533"/>
      <c r="C71" s="1533"/>
      <c r="D71" s="1533"/>
      <c r="E71" s="1530"/>
      <c r="F71" s="1534" t="s">
        <v>162</v>
      </c>
      <c r="G71" s="127"/>
      <c r="H71" s="127"/>
      <c r="I71" s="1472"/>
      <c r="J71" s="1472"/>
      <c r="K71" s="1536"/>
      <c r="L71" s="1536"/>
      <c r="M71" s="127"/>
      <c r="N71" s="127"/>
      <c r="O71" s="124"/>
      <c r="P71" s="304"/>
      <c r="Q71" s="30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</row>
    <row r="72" spans="1:56" s="124" customFormat="1" ht="21">
      <c r="A72" s="1528"/>
      <c r="B72" s="1534"/>
      <c r="C72" s="1534"/>
      <c r="D72" s="1534"/>
      <c r="E72" s="1530"/>
      <c r="F72" s="1534" t="s">
        <v>163</v>
      </c>
      <c r="G72" s="127"/>
      <c r="H72" s="127"/>
      <c r="I72" s="127"/>
      <c r="J72" s="127"/>
      <c r="K72" s="1536"/>
      <c r="L72" s="1536"/>
      <c r="M72" s="127"/>
      <c r="N72" s="127"/>
      <c r="P72" s="303"/>
      <c r="Q72" s="221"/>
    </row>
  </sheetData>
  <sheetProtection selectLockedCells="1"/>
  <mergeCells count="172">
    <mergeCell ref="R50:R51"/>
    <mergeCell ref="N6:P7"/>
    <mergeCell ref="N9:P10"/>
    <mergeCell ref="N13:P14"/>
    <mergeCell ref="N18:P19"/>
    <mergeCell ref="N22:P23"/>
    <mergeCell ref="N25:P26"/>
    <mergeCell ref="C50:E51"/>
    <mergeCell ref="F9:F10"/>
    <mergeCell ref="F13:F14"/>
    <mergeCell ref="F18:F19"/>
    <mergeCell ref="F22:F23"/>
    <mergeCell ref="F25:F26"/>
    <mergeCell ref="F29:F30"/>
    <mergeCell ref="F37:F38"/>
    <mergeCell ref="F50:F51"/>
    <mergeCell ref="Q6:Q7"/>
    <mergeCell ref="Q9:Q10"/>
    <mergeCell ref="Q13:Q14"/>
    <mergeCell ref="Q18:Q19"/>
    <mergeCell ref="Q22:Q23"/>
    <mergeCell ref="Q25:Q26"/>
    <mergeCell ref="Q29:Q30"/>
    <mergeCell ref="Q37:Q38"/>
    <mergeCell ref="Q50:Q51"/>
    <mergeCell ref="H58:I58"/>
    <mergeCell ref="J58:K58"/>
    <mergeCell ref="L58:M58"/>
    <mergeCell ref="L59:M59"/>
    <mergeCell ref="H60:I60"/>
    <mergeCell ref="J60:K60"/>
    <mergeCell ref="L60:M60"/>
    <mergeCell ref="B6:B7"/>
    <mergeCell ref="B9:B10"/>
    <mergeCell ref="B13:B14"/>
    <mergeCell ref="B18:B19"/>
    <mergeCell ref="B22:B23"/>
    <mergeCell ref="B25:B26"/>
    <mergeCell ref="B29:B30"/>
    <mergeCell ref="B37:B38"/>
    <mergeCell ref="B50:B51"/>
    <mergeCell ref="C6:C7"/>
    <mergeCell ref="C9:C10"/>
    <mergeCell ref="C13:C14"/>
    <mergeCell ref="C18:C19"/>
    <mergeCell ref="C22:C23"/>
    <mergeCell ref="C25:C26"/>
    <mergeCell ref="C29:C30"/>
    <mergeCell ref="C37:C38"/>
    <mergeCell ref="N50:P50"/>
    <mergeCell ref="H51:I51"/>
    <mergeCell ref="J51:K51"/>
    <mergeCell ref="L51:M51"/>
    <mergeCell ref="H52:I52"/>
    <mergeCell ref="J52:K52"/>
    <mergeCell ref="L52:M52"/>
    <mergeCell ref="L56:M56"/>
    <mergeCell ref="H37:M37"/>
    <mergeCell ref="N37:P37"/>
    <mergeCell ref="H57:I57"/>
    <mergeCell ref="J57:K57"/>
    <mergeCell ref="L57:M57"/>
    <mergeCell ref="H46:I46"/>
    <mergeCell ref="J46:K46"/>
    <mergeCell ref="L46:M46"/>
    <mergeCell ref="L47:M47"/>
    <mergeCell ref="L48:M48"/>
    <mergeCell ref="H49:I49"/>
    <mergeCell ref="J49:K49"/>
    <mergeCell ref="L49:M49"/>
    <mergeCell ref="H50:M50"/>
    <mergeCell ref="U37:W37"/>
    <mergeCell ref="X37:Z37"/>
    <mergeCell ref="AA37:AC37"/>
    <mergeCell ref="AD37:AF37"/>
    <mergeCell ref="AG37:AI37"/>
    <mergeCell ref="AJ37:AL37"/>
    <mergeCell ref="H38:I38"/>
    <mergeCell ref="J38:K38"/>
    <mergeCell ref="L38:M38"/>
    <mergeCell ref="R37:R38"/>
    <mergeCell ref="X29:Z29"/>
    <mergeCell ref="AA29:AC29"/>
    <mergeCell ref="AD29:AF29"/>
    <mergeCell ref="AG29:AI29"/>
    <mergeCell ref="AJ29:AL29"/>
    <mergeCell ref="H30:I30"/>
    <mergeCell ref="J30:K30"/>
    <mergeCell ref="L30:M30"/>
    <mergeCell ref="H31:I31"/>
    <mergeCell ref="J31:K31"/>
    <mergeCell ref="L31:M31"/>
    <mergeCell ref="R29:R30"/>
    <mergeCell ref="H26:I26"/>
    <mergeCell ref="J26:K26"/>
    <mergeCell ref="L26:M26"/>
    <mergeCell ref="H27:I27"/>
    <mergeCell ref="J27:K27"/>
    <mergeCell ref="L27:M27"/>
    <mergeCell ref="H29:M29"/>
    <mergeCell ref="N29:P29"/>
    <mergeCell ref="U29:W29"/>
    <mergeCell ref="R25:R26"/>
    <mergeCell ref="AJ22:AL22"/>
    <mergeCell ref="H23:I23"/>
    <mergeCell ref="J23:K23"/>
    <mergeCell ref="L23:M23"/>
    <mergeCell ref="H24:I24"/>
    <mergeCell ref="J24:K24"/>
    <mergeCell ref="L24:M24"/>
    <mergeCell ref="H25:M25"/>
    <mergeCell ref="U25:W25"/>
    <mergeCell ref="X25:Z25"/>
    <mergeCell ref="AA25:AC25"/>
    <mergeCell ref="AD25:AF25"/>
    <mergeCell ref="AG25:AI25"/>
    <mergeCell ref="AJ25:AL25"/>
    <mergeCell ref="R22:R23"/>
    <mergeCell ref="H20:I20"/>
    <mergeCell ref="J20:K20"/>
    <mergeCell ref="L20:M20"/>
    <mergeCell ref="H22:M22"/>
    <mergeCell ref="U22:W22"/>
    <mergeCell ref="X22:Z22"/>
    <mergeCell ref="AA22:AC22"/>
    <mergeCell ref="AD22:AF22"/>
    <mergeCell ref="AG22:AI22"/>
    <mergeCell ref="H18:M18"/>
    <mergeCell ref="U18:W18"/>
    <mergeCell ref="X18:Z18"/>
    <mergeCell ref="AA18:AC18"/>
    <mergeCell ref="AD18:AF18"/>
    <mergeCell ref="AG18:AI18"/>
    <mergeCell ref="AJ18:AL18"/>
    <mergeCell ref="H19:I19"/>
    <mergeCell ref="J19:K19"/>
    <mergeCell ref="L19:M19"/>
    <mergeCell ref="R18:R19"/>
    <mergeCell ref="H13:M13"/>
    <mergeCell ref="U13:W13"/>
    <mergeCell ref="X13:Z13"/>
    <mergeCell ref="AA13:AC13"/>
    <mergeCell ref="AD13:AF13"/>
    <mergeCell ref="AG13:AI13"/>
    <mergeCell ref="AJ13:AL13"/>
    <mergeCell ref="H14:J14"/>
    <mergeCell ref="K14:M14"/>
    <mergeCell ref="R13:R14"/>
    <mergeCell ref="H8:I8"/>
    <mergeCell ref="H9:M9"/>
    <mergeCell ref="U9:W9"/>
    <mergeCell ref="X9:Z9"/>
    <mergeCell ref="AA9:AC9"/>
    <mergeCell ref="AD9:AF9"/>
    <mergeCell ref="AG9:AI9"/>
    <mergeCell ref="AJ9:AL9"/>
    <mergeCell ref="H10:J10"/>
    <mergeCell ref="K10:M10"/>
    <mergeCell ref="R9:R10"/>
    <mergeCell ref="A1:L1"/>
    <mergeCell ref="H6:M6"/>
    <mergeCell ref="U6:W6"/>
    <mergeCell ref="X6:Z6"/>
    <mergeCell ref="AA6:AC6"/>
    <mergeCell ref="AD6:AF6"/>
    <mergeCell ref="AG6:AI6"/>
    <mergeCell ref="AJ6:AL6"/>
    <mergeCell ref="H7:I7"/>
    <mergeCell ref="J7:K7"/>
    <mergeCell ref="L7:M7"/>
    <mergeCell ref="F6:F7"/>
    <mergeCell ref="R6:R7"/>
  </mergeCells>
  <pageMargins left="0.16111111111111101" right="0.55902777777777801" top="0.16111111111111101" bottom="0.12986111111111101" header="0.31458333333333299" footer="0.31458333333333299"/>
  <pageSetup paperSize="9" scale="90" orientation="landscape" horizontalDpi="1200" verticalDpi="120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F0"/>
  </sheetPr>
  <dimension ref="A1:K33"/>
  <sheetViews>
    <sheetView view="pageBreakPreview" topLeftCell="A14" zoomScaleNormal="100" workbookViewId="0">
      <selection activeCell="H15" sqref="H15"/>
    </sheetView>
  </sheetViews>
  <sheetFormatPr defaultColWidth="8" defaultRowHeight="18"/>
  <cols>
    <col min="1" max="1" width="7.21875" style="336" customWidth="1"/>
    <col min="2" max="2" width="9.77734375" style="336" customWidth="1"/>
    <col min="3" max="3" width="16.44140625" style="336" customWidth="1"/>
    <col min="4" max="4" width="7.88671875" style="336" customWidth="1"/>
    <col min="5" max="5" width="14" style="336" customWidth="1"/>
    <col min="6" max="6" width="13.21875" style="336" customWidth="1"/>
    <col min="7" max="7" width="11" style="336" customWidth="1"/>
    <col min="8" max="8" width="8.6640625" style="336" customWidth="1"/>
    <col min="9" max="16384" width="8" style="336"/>
  </cols>
  <sheetData>
    <row r="1" spans="1:10">
      <c r="H1" s="591" t="s">
        <v>919</v>
      </c>
    </row>
    <row r="2" spans="1:10" ht="24" customHeight="1">
      <c r="A2" s="2028" t="s">
        <v>920</v>
      </c>
      <c r="B2" s="2028"/>
      <c r="C2" s="2028"/>
      <c r="D2" s="2028"/>
      <c r="E2" s="2028"/>
      <c r="F2" s="2028"/>
      <c r="G2" s="2028"/>
      <c r="H2" s="2028"/>
    </row>
    <row r="3" spans="1:10" ht="3.75" customHeight="1"/>
    <row r="4" spans="1:10">
      <c r="A4" s="592" t="s">
        <v>482</v>
      </c>
      <c r="C4" s="592" t="str">
        <f>'[76]ปร4 ครุภัณฑ์'!D3</f>
        <v>งานครุภัณฑ์/งานอาคาร</v>
      </c>
    </row>
    <row r="5" spans="1:10">
      <c r="A5" s="592" t="s">
        <v>484</v>
      </c>
      <c r="C5" s="592" t="str">
        <f>'ปร5 กทั้งหมด'!C4</f>
        <v xml:space="preserve">ก่อสร้างระบบประปาหมู่บ้านแบบบาดาลพร้อมหอถังสูง พร้อมเจาะบ่อบาดาล  </v>
      </c>
      <c r="G5" s="593"/>
      <c r="H5" s="592"/>
    </row>
    <row r="6" spans="1:10">
      <c r="A6" s="592" t="s">
        <v>406</v>
      </c>
      <c r="C6" s="592" t="str">
        <f>'ปร4 โครงสร้างหอถัง'!D5</f>
        <v>หมู่ที่ 4 บ้านโนนสมบูรณ์</v>
      </c>
    </row>
    <row r="7" spans="1:10">
      <c r="A7" s="592" t="s">
        <v>485</v>
      </c>
      <c r="C7" s="594" t="str">
        <f>'ปร4 โครงสร้างหอถัง'!D6</f>
        <v xml:space="preserve">อบต.ชด.สส. 10/2567      </v>
      </c>
      <c r="D7" s="224" t="s">
        <v>424</v>
      </c>
    </row>
    <row r="8" spans="1:10">
      <c r="A8" s="592" t="s">
        <v>486</v>
      </c>
      <c r="C8" s="592" t="str">
        <f>'[76]ปร4 โครงสร้าง'!D7</f>
        <v>องค์การบริหารส่วนตำบลเชียงดา ตำบลเชียงดา อำเภอสร้างคอม จังหวัดอุดรธานี</v>
      </c>
      <c r="E8" s="595"/>
      <c r="F8" s="596"/>
    </row>
    <row r="9" spans="1:10">
      <c r="A9" s="592" t="s">
        <v>921</v>
      </c>
      <c r="D9" s="592"/>
    </row>
    <row r="10" spans="1:10">
      <c r="A10" s="594" t="str">
        <f>'ปร4 โครงสร้างหอถัง'!A8</f>
        <v xml:space="preserve">ประมาณราคาวันที่  </v>
      </c>
      <c r="B10" s="597"/>
      <c r="C10" s="592" t="str">
        <f>'ปร4 โครงสร้างหอถัง'!D8</f>
        <v xml:space="preserve">  1   เดือน เมษายน พ.ศ.2568</v>
      </c>
      <c r="E10" s="592" t="str">
        <f>'ปร4 โครงสร้างหอถัง'!H8</f>
        <v>ราคาน้ำมันโซล่า 30.00-33.99 บาท/ลิตร</v>
      </c>
    </row>
    <row r="11" spans="1:10" ht="19.5" customHeight="1">
      <c r="H11" s="598" t="s">
        <v>487</v>
      </c>
    </row>
    <row r="12" spans="1:10" ht="19.5" customHeight="1">
      <c r="A12" s="2030" t="s">
        <v>95</v>
      </c>
      <c r="B12" s="2022" t="s">
        <v>96</v>
      </c>
      <c r="C12" s="2023"/>
      <c r="D12" s="2024"/>
      <c r="E12" s="2033" t="s">
        <v>488</v>
      </c>
      <c r="F12" s="2033" t="s">
        <v>489</v>
      </c>
      <c r="G12" s="2033" t="s">
        <v>490</v>
      </c>
      <c r="H12" s="2020" t="s">
        <v>100</v>
      </c>
    </row>
    <row r="13" spans="1:10" ht="19.5" customHeight="1">
      <c r="A13" s="2031"/>
      <c r="B13" s="2025"/>
      <c r="C13" s="2026"/>
      <c r="D13" s="2027"/>
      <c r="E13" s="2034"/>
      <c r="F13" s="2034"/>
      <c r="G13" s="2034"/>
      <c r="H13" s="2021"/>
      <c r="J13" s="336" t="s">
        <v>491</v>
      </c>
    </row>
    <row r="14" spans="1:10">
      <c r="A14" s="600">
        <v>1</v>
      </c>
      <c r="B14" s="601" t="s">
        <v>922</v>
      </c>
      <c r="C14" s="602"/>
      <c r="D14" s="603"/>
      <c r="E14" s="650">
        <f>'ปร4 ครุภัณฑ์'!M14</f>
        <v>14784</v>
      </c>
      <c r="F14" s="651">
        <v>1.07</v>
      </c>
      <c r="G14" s="650">
        <f>E14*F14</f>
        <v>15818.88</v>
      </c>
      <c r="H14" s="605"/>
    </row>
    <row r="15" spans="1:10">
      <c r="A15" s="600"/>
      <c r="B15" s="606"/>
      <c r="C15" s="607"/>
      <c r="D15" s="603"/>
      <c r="E15" s="650"/>
      <c r="F15" s="651"/>
      <c r="G15" s="650"/>
      <c r="H15" s="605"/>
    </row>
    <row r="16" spans="1:10">
      <c r="A16" s="652"/>
      <c r="B16" s="653" t="s">
        <v>494</v>
      </c>
      <c r="C16" s="654"/>
      <c r="D16" s="655"/>
      <c r="E16" s="650"/>
      <c r="F16" s="604"/>
      <c r="G16" s="650"/>
      <c r="H16" s="605"/>
    </row>
    <row r="17" spans="1:11">
      <c r="A17" s="656"/>
      <c r="B17" s="657" t="s">
        <v>495</v>
      </c>
      <c r="C17" s="658"/>
      <c r="D17" s="659"/>
      <c r="E17" s="650"/>
      <c r="F17" s="604"/>
      <c r="G17" s="650"/>
      <c r="H17" s="605"/>
    </row>
    <row r="18" spans="1:11">
      <c r="A18" s="656"/>
      <c r="B18" s="601" t="s">
        <v>496</v>
      </c>
      <c r="C18" s="602"/>
      <c r="D18" s="603"/>
      <c r="E18" s="660"/>
      <c r="F18" s="660"/>
      <c r="G18" s="660"/>
      <c r="H18" s="605"/>
      <c r="J18" s="336" t="s">
        <v>497</v>
      </c>
    </row>
    <row r="19" spans="1:11">
      <c r="A19" s="656"/>
      <c r="B19" s="601" t="s">
        <v>498</v>
      </c>
      <c r="C19" s="602"/>
      <c r="D19" s="603"/>
      <c r="E19" s="660"/>
      <c r="F19" s="660"/>
      <c r="G19" s="660"/>
      <c r="H19" s="605"/>
    </row>
    <row r="20" spans="1:11">
      <c r="A20" s="661"/>
      <c r="B20" s="662" t="s">
        <v>499</v>
      </c>
      <c r="C20" s="663"/>
      <c r="D20" s="664"/>
      <c r="E20" s="665"/>
      <c r="F20" s="665"/>
      <c r="G20" s="665"/>
      <c r="H20" s="666"/>
      <c r="K20" s="336" t="s">
        <v>460</v>
      </c>
    </row>
    <row r="21" spans="1:11">
      <c r="A21" s="599" t="s">
        <v>500</v>
      </c>
      <c r="B21" s="617"/>
      <c r="C21" s="618"/>
      <c r="D21" s="619" t="s">
        <v>460</v>
      </c>
      <c r="E21" s="620" t="s">
        <v>501</v>
      </c>
      <c r="F21" s="619"/>
      <c r="G21" s="667">
        <f>SUM(G14:G20)</f>
        <v>15818.88</v>
      </c>
      <c r="H21" s="622" t="s">
        <v>445</v>
      </c>
    </row>
    <row r="22" spans="1:11">
      <c r="A22" s="668"/>
      <c r="B22" s="669"/>
      <c r="C22" s="669"/>
      <c r="D22" s="670" t="s">
        <v>502</v>
      </c>
      <c r="E22" s="2029" t="str">
        <f>BAHTTEXT(G21)</f>
        <v>หนึ่งหมื่นห้าพันแปดร้อยสิบแปดบาทแปดสิบแปดสตางค์</v>
      </c>
      <c r="F22" s="2029"/>
      <c r="G22" s="2029"/>
      <c r="H22" s="671"/>
    </row>
    <row r="23" spans="1:11" ht="21" customHeight="1">
      <c r="D23" s="1972"/>
      <c r="E23" s="1972"/>
    </row>
    <row r="24" spans="1:11" ht="21" customHeight="1"/>
    <row r="25" spans="1:11" ht="21.75" customHeight="1"/>
    <row r="27" spans="1:11">
      <c r="A27" s="597"/>
      <c r="B27" s="597"/>
      <c r="C27" s="597"/>
      <c r="D27" s="597"/>
      <c r="E27" s="595"/>
      <c r="H27" s="597"/>
    </row>
    <row r="28" spans="1:11">
      <c r="A28" s="649"/>
      <c r="B28" s="649"/>
      <c r="C28" s="649"/>
      <c r="D28" s="597"/>
      <c r="E28" s="595"/>
      <c r="H28" s="597"/>
    </row>
    <row r="29" spans="1:11">
      <c r="E29" s="595"/>
      <c r="F29" s="597"/>
      <c r="G29" s="595"/>
      <c r="H29" s="597"/>
    </row>
    <row r="30" spans="1:11">
      <c r="G30" s="595"/>
    </row>
    <row r="31" spans="1:11">
      <c r="D31" s="596"/>
      <c r="E31" s="595"/>
      <c r="F31" s="597"/>
    </row>
    <row r="32" spans="1:11">
      <c r="E32" s="595"/>
    </row>
    <row r="33" spans="5:5">
      <c r="E33" s="595"/>
    </row>
  </sheetData>
  <mergeCells count="9">
    <mergeCell ref="A2:H2"/>
    <mergeCell ref="E22:G22"/>
    <mergeCell ref="D23:E23"/>
    <mergeCell ref="A12:A13"/>
    <mergeCell ref="E12:E13"/>
    <mergeCell ref="F12:F13"/>
    <mergeCell ref="G12:G13"/>
    <mergeCell ref="H12:H13"/>
    <mergeCell ref="B12:D13"/>
  </mergeCells>
  <pageMargins left="0.56000000000000005" right="0.23" top="0.27" bottom="0.49" header="0.15" footer="0.49"/>
  <pageSetup paperSize="9" orientation="portrait" verticalDpi="36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2060"/>
  </sheetPr>
  <dimension ref="A1:S39"/>
  <sheetViews>
    <sheetView view="pageBreakPreview" topLeftCell="A12" zoomScaleNormal="100" workbookViewId="0">
      <selection activeCell="G7" sqref="G7"/>
    </sheetView>
  </sheetViews>
  <sheetFormatPr defaultColWidth="8" defaultRowHeight="18"/>
  <cols>
    <col min="1" max="1" width="7.21875" style="336" customWidth="1"/>
    <col min="2" max="2" width="9.77734375" style="336" customWidth="1"/>
    <col min="3" max="3" width="17" style="336" customWidth="1"/>
    <col min="4" max="4" width="7.88671875" style="336" customWidth="1"/>
    <col min="5" max="5" width="14" style="336" customWidth="1"/>
    <col min="6" max="6" width="11.44140625" style="336" customWidth="1"/>
    <col min="7" max="7" width="11.21875" style="336" customWidth="1"/>
    <col min="8" max="8" width="8.6640625" style="336" customWidth="1"/>
    <col min="9" max="16384" width="8" style="336"/>
  </cols>
  <sheetData>
    <row r="1" spans="1:11">
      <c r="H1" s="591" t="s">
        <v>923</v>
      </c>
    </row>
    <row r="2" spans="1:11" ht="24" customHeight="1">
      <c r="A2" s="2028" t="s">
        <v>920</v>
      </c>
      <c r="B2" s="2028"/>
      <c r="C2" s="2028"/>
      <c r="D2" s="2028"/>
      <c r="E2" s="2028"/>
      <c r="F2" s="2028"/>
      <c r="G2" s="2028"/>
      <c r="H2" s="2028"/>
    </row>
    <row r="3" spans="1:11" ht="3.75" customHeight="1"/>
    <row r="4" spans="1:11">
      <c r="A4" s="592" t="s">
        <v>484</v>
      </c>
      <c r="C4" s="592" t="str">
        <f>'ปร5 กทั้งหมด'!C4</f>
        <v xml:space="preserve">ก่อสร้างระบบประปาหมู่บ้านแบบบาดาลพร้อมหอถังสูง พร้อมเจาะบ่อบาดาล  </v>
      </c>
      <c r="G4" s="593"/>
      <c r="H4" s="592"/>
    </row>
    <row r="5" spans="1:11">
      <c r="A5" s="592" t="s">
        <v>406</v>
      </c>
      <c r="C5" s="592" t="str">
        <f>'ปร5 กทั้งหมด'!C6</f>
        <v>หมู่ที่ 4 บ้านโนนสมบูรณ์</v>
      </c>
    </row>
    <row r="6" spans="1:11">
      <c r="A6" s="592" t="s">
        <v>485</v>
      </c>
      <c r="C6" s="594" t="str">
        <f>'ปร5 กทั้งหมด'!C7</f>
        <v xml:space="preserve">อบต.ชด.สส. 10/2567      </v>
      </c>
      <c r="D6" s="224" t="s">
        <v>424</v>
      </c>
    </row>
    <row r="7" spans="1:11">
      <c r="A7" s="592" t="s">
        <v>486</v>
      </c>
      <c r="C7" s="592" t="str">
        <f>'[76]ปร4 โครงสร้าง'!D7</f>
        <v>องค์การบริหารส่วนตำบลเชียงดา ตำบลเชียงดา อำเภอสร้างคอม จังหวัดอุดรธานี</v>
      </c>
      <c r="E7" s="595"/>
      <c r="F7" s="596"/>
    </row>
    <row r="8" spans="1:11">
      <c r="A8" s="592" t="s">
        <v>924</v>
      </c>
      <c r="D8" s="592"/>
      <c r="E8" s="592" t="s">
        <v>925</v>
      </c>
    </row>
    <row r="9" spans="1:11">
      <c r="A9" s="594" t="str">
        <f>'ปร4 โครงสร้างหอถัง'!A8</f>
        <v xml:space="preserve">ประมาณราคาวันที่  </v>
      </c>
      <c r="B9" s="597"/>
      <c r="C9" s="592" t="str">
        <f>'ปร4 โครงสร้างหอถัง'!D8</f>
        <v xml:space="preserve">  1   เดือน เมษายน พ.ศ.2568</v>
      </c>
    </row>
    <row r="10" spans="1:11" ht="19.5" customHeight="1">
      <c r="H10" s="598" t="s">
        <v>487</v>
      </c>
    </row>
    <row r="11" spans="1:11" ht="19.5" customHeight="1">
      <c r="A11" s="2030" t="s">
        <v>95</v>
      </c>
      <c r="B11" s="2022" t="s">
        <v>96</v>
      </c>
      <c r="C11" s="2023"/>
      <c r="D11" s="2024"/>
      <c r="E11" s="2022" t="s">
        <v>926</v>
      </c>
      <c r="F11" s="2023"/>
      <c r="G11" s="2024"/>
      <c r="H11" s="2020" t="s">
        <v>100</v>
      </c>
    </row>
    <row r="12" spans="1:11" ht="19.5" customHeight="1">
      <c r="A12" s="2031"/>
      <c r="B12" s="2025"/>
      <c r="C12" s="2026"/>
      <c r="D12" s="2027"/>
      <c r="E12" s="2025"/>
      <c r="F12" s="2026"/>
      <c r="G12" s="2027"/>
      <c r="H12" s="2021"/>
      <c r="J12" s="336" t="s">
        <v>491</v>
      </c>
    </row>
    <row r="13" spans="1:11">
      <c r="A13" s="600">
        <v>1</v>
      </c>
      <c r="B13" s="601" t="str">
        <f>'[76]ปร5 ก(อาร์ม)'!C4</f>
        <v>งานโครงสร้างวิศวกรรม/งานอาคาร</v>
      </c>
      <c r="C13" s="602"/>
      <c r="D13" s="603"/>
      <c r="E13" s="2083">
        <f>'ปร5 กทั้งหมด'!G29</f>
        <v>504115.92684602301</v>
      </c>
      <c r="F13" s="1983"/>
      <c r="G13" s="2013"/>
      <c r="H13" s="605"/>
    </row>
    <row r="14" spans="1:11">
      <c r="A14" s="600">
        <v>2</v>
      </c>
      <c r="B14" s="606" t="str">
        <f>'[76]ปร5 ข(อาร์ม) '!C4</f>
        <v>งานครุภัณฑ์/งานอาคาร</v>
      </c>
      <c r="C14" s="607"/>
      <c r="D14" s="603"/>
      <c r="E14" s="2083">
        <f>'ปร5 ข ครุภัณฑ์'!G21</f>
        <v>15818.88</v>
      </c>
      <c r="F14" s="1983"/>
      <c r="G14" s="2013"/>
      <c r="H14" s="608"/>
    </row>
    <row r="15" spans="1:11">
      <c r="A15" s="609">
        <v>3</v>
      </c>
      <c r="B15" s="610" t="s">
        <v>927</v>
      </c>
      <c r="C15" s="611"/>
      <c r="D15" s="612"/>
      <c r="E15" s="613"/>
      <c r="F15" s="614"/>
      <c r="G15" s="615">
        <f>งานป้ายโครงการ!J14</f>
        <v>2241.95388</v>
      </c>
      <c r="H15" s="616"/>
      <c r="K15" s="336" t="s">
        <v>460</v>
      </c>
    </row>
    <row r="16" spans="1:11">
      <c r="A16" s="2030" t="s">
        <v>500</v>
      </c>
      <c r="B16" s="617"/>
      <c r="C16" s="618"/>
      <c r="D16" s="619" t="s">
        <v>460</v>
      </c>
      <c r="E16" s="620" t="s">
        <v>928</v>
      </c>
      <c r="F16" s="619"/>
      <c r="G16" s="621">
        <f>SUM(E13:G15)</f>
        <v>522176.760726023</v>
      </c>
      <c r="H16" s="622" t="s">
        <v>445</v>
      </c>
    </row>
    <row r="17" spans="1:19">
      <c r="A17" s="2084"/>
      <c r="B17" s="624"/>
      <c r="C17" s="624"/>
      <c r="D17" s="625"/>
      <c r="E17" s="626"/>
      <c r="F17" s="627" t="s">
        <v>580</v>
      </c>
      <c r="G17" s="628">
        <f>ROUNDDOWN(G16,-3)</f>
        <v>522000</v>
      </c>
      <c r="H17" s="629" t="s">
        <v>445</v>
      </c>
    </row>
    <row r="18" spans="1:19">
      <c r="A18" s="630"/>
      <c r="B18" s="631"/>
      <c r="C18" s="631"/>
      <c r="D18" s="632"/>
      <c r="E18" s="633" t="s">
        <v>502</v>
      </c>
      <c r="F18" s="634"/>
      <c r="G18" s="635" t="str">
        <f>BAHTTEXT(G17)</f>
        <v>ห้าแสนสองหมื่นสองพันบาทถ้วน</v>
      </c>
      <c r="H18" s="636"/>
      <c r="I18" s="592"/>
    </row>
    <row r="19" spans="1:19">
      <c r="A19" s="637"/>
      <c r="B19" s="638"/>
      <c r="C19" s="638"/>
      <c r="D19" s="638"/>
      <c r="E19" s="638"/>
      <c r="F19" s="638"/>
      <c r="G19" s="638"/>
      <c r="H19" s="639"/>
    </row>
    <row r="20" spans="1:19">
      <c r="A20" s="597" t="s">
        <v>581</v>
      </c>
      <c r="D20" s="640">
        <v>96</v>
      </c>
      <c r="E20" s="641" t="s">
        <v>89</v>
      </c>
    </row>
    <row r="21" spans="1:19">
      <c r="A21" s="597" t="s">
        <v>582</v>
      </c>
      <c r="D21" s="640">
        <f>G16/D20</f>
        <v>5439.3412575627399</v>
      </c>
      <c r="E21" s="597" t="s">
        <v>929</v>
      </c>
      <c r="F21" s="336" t="s">
        <v>930</v>
      </c>
    </row>
    <row r="22" spans="1:19" s="216" customFormat="1">
      <c r="C22" s="642"/>
      <c r="E22" s="336"/>
      <c r="F22" s="336"/>
      <c r="G22" s="336"/>
      <c r="H22" s="336"/>
      <c r="J22" s="336"/>
      <c r="L22" s="336"/>
      <c r="M22" s="336"/>
      <c r="N22" s="336"/>
      <c r="S22" s="336"/>
    </row>
    <row r="23" spans="1:19" s="216" customFormat="1" ht="19.8" customHeight="1">
      <c r="B23" s="643" t="s">
        <v>585</v>
      </c>
      <c r="F23" s="644" t="s">
        <v>586</v>
      </c>
      <c r="L23" s="643"/>
    </row>
    <row r="24" spans="1:19" s="216" customFormat="1">
      <c r="B24" s="643" t="s">
        <v>587</v>
      </c>
      <c r="F24" s="645" t="s">
        <v>588</v>
      </c>
      <c r="H24" s="646"/>
      <c r="L24" s="643"/>
    </row>
    <row r="25" spans="1:19" s="216" customFormat="1" ht="17.399999999999999" customHeight="1">
      <c r="B25" s="643" t="s">
        <v>589</v>
      </c>
      <c r="D25" s="643"/>
      <c r="F25" s="647" t="s">
        <v>590</v>
      </c>
      <c r="G25" s="647"/>
      <c r="H25" s="647"/>
    </row>
    <row r="26" spans="1:19" s="216" customFormat="1" ht="22.95" customHeight="1"/>
    <row r="27" spans="1:19" s="216" customFormat="1">
      <c r="B27" s="644" t="s">
        <v>591</v>
      </c>
      <c r="F27" s="643" t="s">
        <v>592</v>
      </c>
      <c r="G27" s="643"/>
      <c r="H27" s="643"/>
    </row>
    <row r="28" spans="1:19" s="216" customFormat="1">
      <c r="B28" s="648" t="s">
        <v>593</v>
      </c>
      <c r="F28" s="643" t="s">
        <v>594</v>
      </c>
    </row>
    <row r="29" spans="1:19" s="216" customFormat="1">
      <c r="B29" s="644" t="s">
        <v>595</v>
      </c>
      <c r="F29" s="643" t="s">
        <v>596</v>
      </c>
      <c r="G29" s="647"/>
      <c r="H29" s="647"/>
    </row>
    <row r="30" spans="1:19" ht="21" customHeight="1"/>
    <row r="31" spans="1:19" ht="21.75" customHeight="1"/>
    <row r="33" spans="1:8">
      <c r="A33" s="597"/>
      <c r="B33" s="597"/>
      <c r="C33" s="597"/>
      <c r="D33" s="597"/>
      <c r="E33" s="595"/>
      <c r="H33" s="597"/>
    </row>
    <row r="34" spans="1:8">
      <c r="A34" s="649"/>
      <c r="B34" s="649"/>
      <c r="C34" s="649"/>
      <c r="D34" s="597"/>
      <c r="E34" s="595"/>
      <c r="H34" s="597"/>
    </row>
    <row r="35" spans="1:8">
      <c r="E35" s="595"/>
      <c r="F35" s="597"/>
      <c r="G35" s="595"/>
      <c r="H35" s="597"/>
    </row>
    <row r="36" spans="1:8">
      <c r="G36" s="595"/>
    </row>
    <row r="37" spans="1:8">
      <c r="D37" s="596"/>
      <c r="E37" s="595"/>
      <c r="F37" s="597"/>
    </row>
    <row r="38" spans="1:8">
      <c r="E38" s="595"/>
    </row>
    <row r="39" spans="1:8">
      <c r="E39" s="595"/>
    </row>
  </sheetData>
  <mergeCells count="8">
    <mergeCell ref="A2:H2"/>
    <mergeCell ref="E13:G13"/>
    <mergeCell ref="E14:G14"/>
    <mergeCell ref="A11:A12"/>
    <mergeCell ref="A16:A17"/>
    <mergeCell ref="H11:H12"/>
    <mergeCell ref="B11:D12"/>
    <mergeCell ref="E11:G12"/>
  </mergeCells>
  <pageMargins left="0.56000000000000005" right="0.23" top="0.27" bottom="0.49" header="0.15" footer="0.49"/>
  <pageSetup paperSize="9" orientation="portrait" verticalDpi="36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FFFF00"/>
  </sheetPr>
  <dimension ref="A1:O74"/>
  <sheetViews>
    <sheetView view="pageLayout" topLeftCell="A43" zoomScaleNormal="100" workbookViewId="0">
      <selection activeCell="G49" sqref="G49"/>
    </sheetView>
  </sheetViews>
  <sheetFormatPr defaultColWidth="9" defaultRowHeight="14.4"/>
  <cols>
    <col min="1" max="1" width="7.44140625" customWidth="1"/>
    <col min="3" max="3" width="24.88671875" customWidth="1"/>
    <col min="4" max="4" width="7.109375" customWidth="1"/>
    <col min="5" max="5" width="9.6640625" customWidth="1"/>
    <col min="6" max="6" width="8.6640625" customWidth="1"/>
    <col min="7" max="7" width="7.77734375" customWidth="1"/>
    <col min="8" max="8" width="9.33203125" customWidth="1"/>
    <col min="9" max="9" width="7.21875" customWidth="1"/>
    <col min="10" max="11" width="7.6640625" customWidth="1"/>
    <col min="12" max="12" width="8.44140625" customWidth="1"/>
    <col min="13" max="13" width="6.33203125" customWidth="1"/>
    <col min="14" max="14" width="2.6640625" customWidth="1"/>
    <col min="15" max="15" width="3.88671875" customWidth="1"/>
  </cols>
  <sheetData>
    <row r="1" spans="1:13" s="1" customFormat="1" ht="21">
      <c r="C1" s="2" t="s">
        <v>931</v>
      </c>
    </row>
    <row r="2" spans="1:13" s="1" customFormat="1" ht="22.95" customHeight="1">
      <c r="B2" s="2" t="s">
        <v>932</v>
      </c>
      <c r="C2" s="3">
        <v>126</v>
      </c>
      <c r="D2" s="4" t="s">
        <v>237</v>
      </c>
      <c r="E2" s="4" t="s">
        <v>933</v>
      </c>
      <c r="F2" s="3">
        <v>2.5</v>
      </c>
      <c r="G2" s="4" t="s">
        <v>237</v>
      </c>
      <c r="H2" s="4">
        <f>C2/2.3</f>
        <v>54.7826086956522</v>
      </c>
      <c r="I2" s="1" t="s">
        <v>78</v>
      </c>
      <c r="J2" s="3">
        <v>54</v>
      </c>
    </row>
    <row r="3" spans="1:13" s="1" customFormat="1" ht="22.95" customHeight="1">
      <c r="A3" s="2085" t="s">
        <v>174</v>
      </c>
      <c r="B3" s="2089" t="s">
        <v>96</v>
      </c>
      <c r="C3" s="2090"/>
      <c r="D3" s="2087" t="s">
        <v>11</v>
      </c>
      <c r="E3" s="2087" t="s">
        <v>792</v>
      </c>
      <c r="F3" s="5" t="s">
        <v>793</v>
      </c>
      <c r="G3" s="5" t="s">
        <v>794</v>
      </c>
      <c r="H3" s="6" t="s">
        <v>795</v>
      </c>
      <c r="I3" s="92" t="s">
        <v>100</v>
      </c>
    </row>
    <row r="4" spans="1:13" s="1" customFormat="1" ht="22.95" customHeight="1">
      <c r="A4" s="2086"/>
      <c r="B4" s="2091"/>
      <c r="C4" s="2092"/>
      <c r="D4" s="2088"/>
      <c r="E4" s="2088"/>
      <c r="F4" s="7" t="s">
        <v>796</v>
      </c>
      <c r="G4" s="7" t="s">
        <v>796</v>
      </c>
      <c r="H4" s="7" t="s">
        <v>796</v>
      </c>
      <c r="I4" s="93"/>
      <c r="K4" s="4"/>
      <c r="L4" s="4"/>
      <c r="M4" s="4"/>
    </row>
    <row r="5" spans="1:13" s="1" customFormat="1" ht="22.95" customHeight="1">
      <c r="A5" s="8">
        <v>1</v>
      </c>
      <c r="B5" s="9" t="s">
        <v>797</v>
      </c>
      <c r="C5" s="10"/>
      <c r="D5" s="11" t="s">
        <v>184</v>
      </c>
      <c r="E5" s="12">
        <f>F5*G5*H5*J2</f>
        <v>6.75</v>
      </c>
      <c r="F5" s="12">
        <v>0.5</v>
      </c>
      <c r="G5" s="12">
        <v>0.5</v>
      </c>
      <c r="H5" s="12">
        <v>0.5</v>
      </c>
      <c r="I5" s="94"/>
      <c r="K5" s="4"/>
      <c r="L5" s="4"/>
      <c r="M5" s="4"/>
    </row>
    <row r="6" spans="1:13" s="1" customFormat="1" ht="22.95" customHeight="1">
      <c r="A6" s="13">
        <v>2</v>
      </c>
      <c r="B6" s="14" t="s">
        <v>798</v>
      </c>
      <c r="C6" s="15"/>
      <c r="D6" s="16" t="s">
        <v>184</v>
      </c>
      <c r="E6" s="17">
        <f>F6*G6*H6*J2</f>
        <v>0.67500000000000004</v>
      </c>
      <c r="F6" s="17">
        <v>0.5</v>
      </c>
      <c r="G6" s="17">
        <v>0.5</v>
      </c>
      <c r="H6" s="17">
        <v>0.05</v>
      </c>
      <c r="I6" s="54"/>
    </row>
    <row r="7" spans="1:13" s="1" customFormat="1" ht="22.95" customHeight="1">
      <c r="A7" s="13">
        <v>3</v>
      </c>
      <c r="B7" s="14" t="s">
        <v>799</v>
      </c>
      <c r="C7" s="18"/>
      <c r="D7" s="16" t="s">
        <v>184</v>
      </c>
      <c r="E7" s="17">
        <f>F7*G7*H7*J2</f>
        <v>0.67500000000000004</v>
      </c>
      <c r="F7" s="17">
        <v>0.5</v>
      </c>
      <c r="G7" s="17">
        <v>0.5</v>
      </c>
      <c r="H7" s="17">
        <v>0.05</v>
      </c>
      <c r="I7" s="54"/>
      <c r="K7" s="4"/>
    </row>
    <row r="8" spans="1:13" s="1" customFormat="1" ht="22.95" customHeight="1">
      <c r="A8" s="13">
        <v>4</v>
      </c>
      <c r="B8" s="19" t="s">
        <v>800</v>
      </c>
      <c r="C8" s="20"/>
      <c r="D8" s="17"/>
      <c r="E8" s="17"/>
      <c r="F8" s="17"/>
      <c r="G8" s="17"/>
      <c r="H8" s="17"/>
      <c r="I8" s="54"/>
      <c r="K8" s="4"/>
    </row>
    <row r="9" spans="1:13" s="1" customFormat="1" ht="22.95" customHeight="1">
      <c r="A9" s="21">
        <v>4.0999999999999996</v>
      </c>
      <c r="B9" s="22" t="s">
        <v>801</v>
      </c>
      <c r="C9" s="20"/>
      <c r="D9" s="16" t="s">
        <v>184</v>
      </c>
      <c r="E9" s="17">
        <f>F9*G9*H9*J2</f>
        <v>2.7</v>
      </c>
      <c r="F9" s="17">
        <v>0.5</v>
      </c>
      <c r="G9" s="17">
        <v>0.5</v>
      </c>
      <c r="H9" s="17">
        <v>0.2</v>
      </c>
      <c r="I9" s="54"/>
      <c r="K9" s="4"/>
      <c r="L9" s="4"/>
      <c r="M9" s="4"/>
    </row>
    <row r="10" spans="1:13" s="1" customFormat="1" ht="22.95" customHeight="1">
      <c r="A10" s="21">
        <v>4.2</v>
      </c>
      <c r="B10" s="22" t="s">
        <v>802</v>
      </c>
      <c r="C10" s="20"/>
      <c r="D10" s="16" t="s">
        <v>184</v>
      </c>
      <c r="E10" s="17">
        <f>F10*G10*H10*J2</f>
        <v>2.3085</v>
      </c>
      <c r="F10" s="17">
        <v>0.15</v>
      </c>
      <c r="G10" s="17">
        <v>0.15</v>
      </c>
      <c r="H10" s="17">
        <v>1.9</v>
      </c>
      <c r="I10" s="51"/>
      <c r="J10" s="4"/>
    </row>
    <row r="11" spans="1:13" s="1" customFormat="1" ht="22.95" customHeight="1">
      <c r="A11" s="21">
        <v>4.3</v>
      </c>
      <c r="B11" s="22" t="s">
        <v>803</v>
      </c>
      <c r="C11" s="20"/>
      <c r="D11" s="16" t="s">
        <v>184</v>
      </c>
      <c r="E11" s="23">
        <f>F11*G11*H11</f>
        <v>5.67</v>
      </c>
      <c r="F11" s="17">
        <v>0.15</v>
      </c>
      <c r="G11" s="17">
        <f>C2</f>
        <v>126</v>
      </c>
      <c r="H11" s="17">
        <v>0.3</v>
      </c>
      <c r="I11" s="51"/>
      <c r="K11" s="1" t="s">
        <v>794</v>
      </c>
    </row>
    <row r="12" spans="1:13" s="1" customFormat="1" ht="22.95" customHeight="1">
      <c r="A12" s="21">
        <v>4.4000000000000004</v>
      </c>
      <c r="B12" s="22" t="s">
        <v>804</v>
      </c>
      <c r="C12" s="20"/>
      <c r="D12" s="16" t="s">
        <v>184</v>
      </c>
      <c r="E12" s="24">
        <f>F12*G12*H12</f>
        <v>1.7685</v>
      </c>
      <c r="F12" s="17">
        <v>0.15</v>
      </c>
      <c r="G12" s="17">
        <f>K12</f>
        <v>117.9</v>
      </c>
      <c r="H12" s="17">
        <v>0.1</v>
      </c>
      <c r="I12" s="51"/>
      <c r="K12" s="23">
        <f>C2-(0.15*J2)</f>
        <v>117.9</v>
      </c>
    </row>
    <row r="13" spans="1:13" s="1" customFormat="1" ht="22.95" customHeight="1">
      <c r="A13" s="13"/>
      <c r="B13" s="14"/>
      <c r="C13" s="25"/>
      <c r="D13" s="26" t="s">
        <v>805</v>
      </c>
      <c r="E13" s="27">
        <f>SUM(E9:E12)</f>
        <v>12.446999999999999</v>
      </c>
      <c r="F13" s="18" t="s">
        <v>184</v>
      </c>
      <c r="G13" s="28"/>
      <c r="H13" s="17"/>
      <c r="I13" s="95"/>
      <c r="J13" s="4"/>
    </row>
    <row r="14" spans="1:13" s="1" customFormat="1" ht="22.5" customHeight="1">
      <c r="A14" s="13">
        <v>5</v>
      </c>
      <c r="B14" s="19" t="s">
        <v>599</v>
      </c>
      <c r="C14" s="20"/>
      <c r="D14" s="28"/>
      <c r="E14" s="29"/>
      <c r="F14" s="28"/>
      <c r="G14" s="28"/>
      <c r="H14" s="28"/>
      <c r="I14" s="54"/>
    </row>
    <row r="15" spans="1:13" ht="22.5" customHeight="1">
      <c r="A15" s="30">
        <v>5.0999999999999996</v>
      </c>
      <c r="B15" s="22" t="s">
        <v>801</v>
      </c>
      <c r="C15" s="20"/>
      <c r="D15" s="16" t="s">
        <v>83</v>
      </c>
      <c r="E15" s="17">
        <f>F15*H15*4*J2</f>
        <v>21.6</v>
      </c>
      <c r="F15" s="17">
        <v>0.5</v>
      </c>
      <c r="G15" s="17">
        <v>0</v>
      </c>
      <c r="H15" s="17">
        <v>0.2</v>
      </c>
      <c r="I15" s="96"/>
    </row>
    <row r="16" spans="1:13" ht="22.5" customHeight="1">
      <c r="A16" s="30">
        <v>5.2</v>
      </c>
      <c r="B16" s="22" t="s">
        <v>802</v>
      </c>
      <c r="C16" s="20"/>
      <c r="D16" s="16" t="s">
        <v>83</v>
      </c>
      <c r="E16" s="17">
        <f>F16*H16*4*J2</f>
        <v>55.08</v>
      </c>
      <c r="F16" s="17">
        <v>0.15</v>
      </c>
      <c r="G16" s="17">
        <v>0</v>
      </c>
      <c r="H16" s="17">
        <v>1.7</v>
      </c>
      <c r="I16" s="95"/>
    </row>
    <row r="17" spans="1:13" ht="22.5" customHeight="1">
      <c r="A17" s="30">
        <v>5.3</v>
      </c>
      <c r="B17" s="22" t="s">
        <v>803</v>
      </c>
      <c r="C17" s="20"/>
      <c r="D17" s="16" t="s">
        <v>83</v>
      </c>
      <c r="E17" s="23">
        <f>G17*H17*2</f>
        <v>75.599999999999994</v>
      </c>
      <c r="F17" s="17">
        <v>0</v>
      </c>
      <c r="G17" s="17">
        <v>0.3</v>
      </c>
      <c r="H17" s="17">
        <v>126</v>
      </c>
      <c r="I17" s="95"/>
    </row>
    <row r="18" spans="1:13" ht="22.5" customHeight="1">
      <c r="A18" s="30">
        <v>5.4</v>
      </c>
      <c r="B18" s="22" t="s">
        <v>804</v>
      </c>
      <c r="C18" s="20"/>
      <c r="D18" s="16" t="s">
        <v>83</v>
      </c>
      <c r="E18" s="23">
        <f>G18*H18*2</f>
        <v>23.58</v>
      </c>
      <c r="F18" s="17">
        <v>0.15</v>
      </c>
      <c r="G18" s="17">
        <f>G12</f>
        <v>117.9</v>
      </c>
      <c r="H18" s="17">
        <f>H12</f>
        <v>0.1</v>
      </c>
      <c r="I18" s="95"/>
    </row>
    <row r="19" spans="1:13" ht="22.5" customHeight="1">
      <c r="A19" s="31"/>
      <c r="B19" s="22"/>
      <c r="C19" s="20"/>
      <c r="D19" s="26" t="s">
        <v>806</v>
      </c>
      <c r="E19" s="27">
        <f>SUM(E15:E18)</f>
        <v>175.86</v>
      </c>
      <c r="F19" s="18" t="s">
        <v>83</v>
      </c>
      <c r="G19" s="17"/>
      <c r="H19" s="17"/>
      <c r="I19" s="95"/>
    </row>
    <row r="20" spans="1:13" ht="22.5" customHeight="1">
      <c r="A20" s="32"/>
      <c r="B20" s="33"/>
      <c r="C20" s="34"/>
      <c r="D20" s="35"/>
      <c r="E20" s="36"/>
      <c r="F20" s="37"/>
      <c r="G20" s="38"/>
      <c r="H20" s="38"/>
      <c r="I20" s="97"/>
    </row>
    <row r="21" spans="1:13" ht="22.5" customHeight="1">
      <c r="B21" s="1"/>
      <c r="C21" s="1"/>
      <c r="D21" s="39"/>
      <c r="E21" s="40"/>
      <c r="F21" s="40"/>
      <c r="G21" s="4"/>
      <c r="H21" s="4"/>
      <c r="I21" s="4"/>
    </row>
    <row r="22" spans="1:13" ht="22.5" customHeight="1">
      <c r="B22" s="1"/>
      <c r="C22" s="1"/>
      <c r="D22" s="39"/>
      <c r="E22" s="40"/>
      <c r="F22" s="40"/>
      <c r="G22" s="4"/>
      <c r="H22" s="4"/>
      <c r="I22" s="4"/>
    </row>
    <row r="23" spans="1:13" ht="22.5" customHeight="1">
      <c r="B23" s="1"/>
      <c r="C23" s="1"/>
      <c r="D23" s="39"/>
      <c r="E23" s="40"/>
      <c r="F23" s="40"/>
      <c r="G23" s="4"/>
      <c r="H23" s="4"/>
      <c r="I23" s="4"/>
    </row>
    <row r="24" spans="1:13" s="1" customFormat="1" ht="21">
      <c r="C24" s="1" t="s">
        <v>931</v>
      </c>
    </row>
    <row r="25" spans="1:13" s="1" customFormat="1" ht="22.95" customHeight="1">
      <c r="B25" s="2" t="s">
        <v>932</v>
      </c>
      <c r="C25" s="3">
        <v>126</v>
      </c>
      <c r="D25" s="4" t="s">
        <v>237</v>
      </c>
      <c r="E25" s="4" t="s">
        <v>933</v>
      </c>
      <c r="F25" s="3">
        <v>2.5</v>
      </c>
      <c r="G25" s="4" t="s">
        <v>237</v>
      </c>
      <c r="H25" s="4">
        <f>C25/2.3</f>
        <v>54.7826086956522</v>
      </c>
      <c r="I25" s="1" t="s">
        <v>78</v>
      </c>
      <c r="J25" s="3">
        <v>54</v>
      </c>
    </row>
    <row r="26" spans="1:13" s="1" customFormat="1" ht="22.95" customHeight="1">
      <c r="A26" s="2085" t="s">
        <v>174</v>
      </c>
      <c r="B26" s="2089" t="s">
        <v>96</v>
      </c>
      <c r="C26" s="2090"/>
      <c r="D26" s="2087" t="s">
        <v>11</v>
      </c>
      <c r="E26" s="2087" t="s">
        <v>792</v>
      </c>
      <c r="F26" s="5" t="s">
        <v>793</v>
      </c>
      <c r="G26" s="5" t="s">
        <v>794</v>
      </c>
      <c r="H26" s="5" t="s">
        <v>795</v>
      </c>
      <c r="I26" s="92" t="s">
        <v>100</v>
      </c>
    </row>
    <row r="27" spans="1:13" s="1" customFormat="1" ht="22.95" customHeight="1">
      <c r="A27" s="2086"/>
      <c r="B27" s="2091"/>
      <c r="C27" s="2092"/>
      <c r="D27" s="2088"/>
      <c r="E27" s="2088"/>
      <c r="F27" s="7" t="s">
        <v>796</v>
      </c>
      <c r="G27" s="7" t="s">
        <v>796</v>
      </c>
      <c r="H27" s="7" t="s">
        <v>796</v>
      </c>
      <c r="I27" s="93"/>
      <c r="K27" s="4"/>
      <c r="L27" s="4"/>
      <c r="M27" s="4"/>
    </row>
    <row r="28" spans="1:13" s="1" customFormat="1" ht="22.95" customHeight="1">
      <c r="A28" s="41">
        <v>6</v>
      </c>
      <c r="B28" s="42" t="s">
        <v>807</v>
      </c>
      <c r="C28" s="43"/>
      <c r="D28" s="43"/>
      <c r="E28" s="29"/>
      <c r="F28" s="29"/>
      <c r="G28" s="29"/>
      <c r="H28" s="44"/>
      <c r="I28" s="98"/>
      <c r="K28" s="4"/>
      <c r="M28" s="4"/>
    </row>
    <row r="29" spans="1:13" s="1" customFormat="1" ht="22.95" customHeight="1">
      <c r="A29" s="13">
        <v>6.1</v>
      </c>
      <c r="B29" s="45" t="s">
        <v>801</v>
      </c>
      <c r="C29" s="20"/>
      <c r="D29" s="46"/>
      <c r="E29" s="47"/>
      <c r="F29" s="47"/>
      <c r="G29" s="47"/>
      <c r="H29" s="48"/>
      <c r="I29" s="99"/>
      <c r="K29" s="4"/>
      <c r="M29" s="4"/>
    </row>
    <row r="30" spans="1:13" s="1" customFormat="1" ht="22.95" customHeight="1">
      <c r="A30" s="13"/>
      <c r="B30" s="22" t="s">
        <v>809</v>
      </c>
      <c r="C30" s="20"/>
      <c r="D30" s="49" t="s">
        <v>237</v>
      </c>
      <c r="E30" s="50">
        <f>G30*I30*2*J2</f>
        <v>302.39999999999998</v>
      </c>
      <c r="F30" s="17">
        <v>0.5</v>
      </c>
      <c r="G30" s="17">
        <f>0.4+0.1+0.1+0.1</f>
        <v>0.7</v>
      </c>
      <c r="H30" s="51">
        <f>F30/0.15</f>
        <v>3.3333333333333299</v>
      </c>
      <c r="I30" s="100">
        <v>4</v>
      </c>
      <c r="J30" s="1" t="s">
        <v>808</v>
      </c>
      <c r="K30" s="4"/>
      <c r="M30" s="4"/>
    </row>
    <row r="31" spans="1:13" s="1" customFormat="1" ht="22.95" customHeight="1">
      <c r="A31" s="13"/>
      <c r="B31" s="22" t="s">
        <v>934</v>
      </c>
      <c r="C31" s="20"/>
      <c r="D31" s="49" t="s">
        <v>237</v>
      </c>
      <c r="E31" s="50">
        <f>G31*J2</f>
        <v>86.4</v>
      </c>
      <c r="F31" s="17">
        <v>0</v>
      </c>
      <c r="G31" s="17">
        <f>0.4*4</f>
        <v>1.6</v>
      </c>
      <c r="H31" s="51">
        <f>F31/0.15</f>
        <v>0</v>
      </c>
      <c r="I31" s="99" t="s">
        <v>935</v>
      </c>
      <c r="J31" s="101">
        <f>0.499*(E31+E39)</f>
        <v>219.7097</v>
      </c>
      <c r="K31" s="1" t="s">
        <v>81</v>
      </c>
      <c r="M31" s="4"/>
    </row>
    <row r="32" spans="1:13" s="1" customFormat="1" ht="22.95" customHeight="1">
      <c r="A32" s="13">
        <v>6.2</v>
      </c>
      <c r="B32" s="14" t="s">
        <v>802</v>
      </c>
      <c r="C32" s="20"/>
      <c r="D32" s="52"/>
      <c r="E32" s="52"/>
      <c r="F32" s="52"/>
      <c r="G32" s="52"/>
      <c r="H32" s="53"/>
      <c r="I32" s="99"/>
      <c r="K32" s="4"/>
      <c r="M32" s="4"/>
    </row>
    <row r="33" spans="1:15" s="1" customFormat="1" ht="22.95" customHeight="1">
      <c r="A33" s="13"/>
      <c r="B33" s="22" t="s">
        <v>809</v>
      </c>
      <c r="C33" s="20"/>
      <c r="D33" s="49" t="s">
        <v>237</v>
      </c>
      <c r="E33" s="50">
        <f>G33*4*J2</f>
        <v>594</v>
      </c>
      <c r="F33" s="28"/>
      <c r="G33" s="17">
        <f>2.25+0.3+0.1+0.1</f>
        <v>2.75</v>
      </c>
      <c r="H33" s="54"/>
      <c r="I33" s="99"/>
      <c r="K33" s="4"/>
      <c r="M33" s="4"/>
    </row>
    <row r="34" spans="1:15" s="1" customFormat="1" ht="22.95" customHeight="1">
      <c r="A34" s="13"/>
      <c r="B34" s="22" t="s">
        <v>936</v>
      </c>
      <c r="C34" s="20"/>
      <c r="D34" s="49" t="s">
        <v>237</v>
      </c>
      <c r="E34" s="50">
        <f>G34*H34*J2</f>
        <v>189</v>
      </c>
      <c r="F34" s="28"/>
      <c r="G34" s="28">
        <f>0.1+0.1+0.1+0.1+0.1</f>
        <v>0.5</v>
      </c>
      <c r="H34" s="51">
        <f>1.4/0.2</f>
        <v>7</v>
      </c>
      <c r="I34" s="99"/>
      <c r="K34" s="4"/>
      <c r="M34" s="4"/>
    </row>
    <row r="35" spans="1:15" s="1" customFormat="1" ht="22.95" customHeight="1">
      <c r="A35" s="13">
        <v>6.3</v>
      </c>
      <c r="B35" s="14" t="s">
        <v>803</v>
      </c>
      <c r="C35" s="20"/>
      <c r="D35" s="55"/>
      <c r="E35" s="52"/>
      <c r="F35" s="52"/>
      <c r="G35" s="52"/>
      <c r="H35" s="53"/>
      <c r="I35" s="99"/>
      <c r="J35" s="1" t="s">
        <v>808</v>
      </c>
      <c r="K35" s="4"/>
    </row>
    <row r="36" spans="1:15" s="1" customFormat="1" ht="22.95" customHeight="1">
      <c r="A36" s="21"/>
      <c r="B36" s="22" t="s">
        <v>809</v>
      </c>
      <c r="C36" s="20"/>
      <c r="D36" s="49" t="s">
        <v>237</v>
      </c>
      <c r="E36" s="50">
        <f>G36*4</f>
        <v>504</v>
      </c>
      <c r="F36" s="28"/>
      <c r="G36" s="17">
        <v>126</v>
      </c>
      <c r="H36" s="54"/>
      <c r="I36" s="99"/>
      <c r="J36" s="102">
        <f>(E30+E33+E36)*0.888</f>
        <v>1243.5552</v>
      </c>
      <c r="K36" s="1" t="s">
        <v>81</v>
      </c>
    </row>
    <row r="37" spans="1:15" s="1" customFormat="1" ht="22.95" customHeight="1">
      <c r="A37" s="21"/>
      <c r="B37" s="22" t="s">
        <v>936</v>
      </c>
      <c r="C37" s="20"/>
      <c r="D37" s="49" t="s">
        <v>237</v>
      </c>
      <c r="E37" s="50">
        <f>H37*G37</f>
        <v>441</v>
      </c>
      <c r="F37" s="28"/>
      <c r="G37" s="28">
        <f>0.1+0.1+0.2+0.2+0.1</f>
        <v>0.7</v>
      </c>
      <c r="H37" s="51">
        <f>G36/0.2</f>
        <v>630</v>
      </c>
      <c r="I37" s="99"/>
      <c r="J37" s="101">
        <f>(E34+E37)*0.222</f>
        <v>139.86000000000001</v>
      </c>
      <c r="K37" s="1" t="s">
        <v>81</v>
      </c>
    </row>
    <row r="38" spans="1:15" s="1" customFormat="1" ht="22.95" customHeight="1">
      <c r="A38" s="13">
        <v>6.4</v>
      </c>
      <c r="B38" s="14" t="s">
        <v>804</v>
      </c>
      <c r="C38" s="20"/>
      <c r="D38" s="56"/>
      <c r="E38" s="24"/>
      <c r="F38" s="28"/>
      <c r="G38" s="47"/>
      <c r="H38" s="57"/>
      <c r="I38" s="99"/>
      <c r="J38" s="24"/>
      <c r="L38" s="24"/>
    </row>
    <row r="39" spans="1:15" s="1" customFormat="1" ht="22.95" customHeight="1">
      <c r="A39" s="58"/>
      <c r="B39" s="22" t="s">
        <v>937</v>
      </c>
      <c r="C39" s="20"/>
      <c r="D39" s="49" t="s">
        <v>237</v>
      </c>
      <c r="E39" s="50">
        <f>(G39*2)+((G18/0.2)*0.2)</f>
        <v>353.9</v>
      </c>
      <c r="F39" s="17">
        <v>0</v>
      </c>
      <c r="G39" s="17">
        <f>G18+0.05+0.05</f>
        <v>118</v>
      </c>
      <c r="H39" s="51">
        <f>F39/0.15</f>
        <v>0</v>
      </c>
      <c r="I39" s="99"/>
      <c r="J39" s="24"/>
      <c r="L39" s="24"/>
    </row>
    <row r="40" spans="1:15" s="1" customFormat="1" ht="22.95" customHeight="1">
      <c r="A40" s="58"/>
      <c r="B40" s="22"/>
      <c r="C40" s="46"/>
      <c r="D40" s="26" t="s">
        <v>938</v>
      </c>
      <c r="E40" s="27">
        <f>SUM(E35:E37)</f>
        <v>945</v>
      </c>
      <c r="F40" s="59" t="s">
        <v>237</v>
      </c>
      <c r="G40" s="47"/>
      <c r="H40" s="57"/>
      <c r="I40" s="99"/>
    </row>
    <row r="41" spans="1:15" s="1" customFormat="1" ht="22.95" customHeight="1">
      <c r="A41" s="60"/>
      <c r="B41" s="33"/>
      <c r="C41" s="34"/>
      <c r="D41" s="61"/>
      <c r="E41" s="62"/>
      <c r="F41" s="63"/>
      <c r="G41" s="64"/>
      <c r="H41" s="65"/>
      <c r="I41" s="103"/>
    </row>
    <row r="42" spans="1:15" s="1" customFormat="1" ht="22.95" customHeight="1">
      <c r="A42" s="66"/>
      <c r="D42" s="39"/>
      <c r="E42" s="40"/>
      <c r="F42" s="67"/>
      <c r="H42" s="24"/>
    </row>
    <row r="43" spans="1:15" s="1" customFormat="1" ht="22.95" customHeight="1">
      <c r="A43" s="66"/>
      <c r="B43" s="68" t="s">
        <v>939</v>
      </c>
      <c r="C43" s="3">
        <v>120</v>
      </c>
      <c r="D43" s="4" t="s">
        <v>237</v>
      </c>
      <c r="E43" s="4" t="s">
        <v>933</v>
      </c>
      <c r="F43" s="3">
        <v>2.2999999999999998</v>
      </c>
      <c r="G43" s="4" t="s">
        <v>237</v>
      </c>
      <c r="H43" s="4">
        <f>C43/2.3</f>
        <v>52.173913043478301</v>
      </c>
      <c r="I43" s="1" t="s">
        <v>78</v>
      </c>
      <c r="J43" s="3">
        <v>53</v>
      </c>
      <c r="K43" s="1" t="s">
        <v>78</v>
      </c>
    </row>
    <row r="44" spans="1:15" s="1" customFormat="1" ht="22.95" customHeight="1">
      <c r="A44" s="69"/>
      <c r="B44" s="70"/>
      <c r="C44" s="71"/>
      <c r="D44" s="72"/>
      <c r="E44" s="73"/>
      <c r="F44" s="74" t="s">
        <v>940</v>
      </c>
      <c r="G44" s="47"/>
      <c r="H44" s="588" t="s">
        <v>941</v>
      </c>
      <c r="I44" s="94"/>
      <c r="J44" s="104" t="s">
        <v>465</v>
      </c>
      <c r="K44" s="104" t="s">
        <v>942</v>
      </c>
      <c r="L44" s="105" t="s">
        <v>943</v>
      </c>
      <c r="M44" s="105" t="s">
        <v>179</v>
      </c>
      <c r="N44" s="106"/>
      <c r="O44" s="107"/>
    </row>
    <row r="45" spans="1:15" s="1" customFormat="1" ht="22.95" customHeight="1">
      <c r="A45" s="76">
        <v>7</v>
      </c>
      <c r="B45" s="77" t="s">
        <v>944</v>
      </c>
      <c r="C45" s="20"/>
      <c r="D45" s="49" t="s">
        <v>65</v>
      </c>
      <c r="E45" s="50">
        <f>N45</f>
        <v>7</v>
      </c>
      <c r="F45" s="78">
        <f>M45*J45</f>
        <v>152.75</v>
      </c>
      <c r="G45" s="78"/>
      <c r="H45" s="78">
        <f>'3.สืบท่อโฟมลูกรังทรายเหล็กป้าย'!O39/J45</f>
        <v>67.608085106383001</v>
      </c>
      <c r="I45" s="54"/>
      <c r="J45" s="108">
        <v>23.5</v>
      </c>
      <c r="K45" s="109">
        <f>((0.1*2)+(0.05*2*2)+(0.02*4))*E45*6</f>
        <v>20.16</v>
      </c>
      <c r="L45" s="589">
        <f>((12*2)+6+(3.5*2)+2)</f>
        <v>39</v>
      </c>
      <c r="M45" s="110">
        <f>L45/6</f>
        <v>6.5</v>
      </c>
      <c r="N45" s="111">
        <v>7</v>
      </c>
      <c r="O45" s="107" t="s">
        <v>65</v>
      </c>
    </row>
    <row r="46" spans="1:15" s="1" customFormat="1" ht="22.95" customHeight="1">
      <c r="A46" s="76"/>
      <c r="B46" s="77" t="s">
        <v>945</v>
      </c>
      <c r="C46" s="20"/>
      <c r="D46" s="81" t="s">
        <v>83</v>
      </c>
      <c r="E46" s="50">
        <f>K45</f>
        <v>20.16</v>
      </c>
      <c r="F46" s="78"/>
      <c r="G46" s="78"/>
      <c r="H46" s="78"/>
      <c r="I46" s="54"/>
      <c r="J46" s="108"/>
      <c r="K46" s="109"/>
      <c r="M46" s="110"/>
      <c r="N46" s="111"/>
      <c r="O46" s="107"/>
    </row>
    <row r="47" spans="1:15" s="1" customFormat="1" ht="22.95" customHeight="1">
      <c r="A47" s="76">
        <v>8</v>
      </c>
      <c r="B47" s="77" t="s">
        <v>946</v>
      </c>
      <c r="C47" s="20"/>
      <c r="D47" s="49" t="s">
        <v>346</v>
      </c>
      <c r="E47" s="50">
        <f>N47</f>
        <v>11</v>
      </c>
      <c r="F47" s="78">
        <f>M47*J47</f>
        <v>21.7</v>
      </c>
      <c r="G47" s="78"/>
      <c r="H47" s="78">
        <f>'3.สืบท่อโฟมลูกรังทรายเหล็กป้าย'!G40/2.1</f>
        <v>634.18095238095202</v>
      </c>
      <c r="I47" s="54"/>
      <c r="J47" s="590">
        <v>2.1</v>
      </c>
      <c r="K47" s="109">
        <f>((0.05*4*E47*6))</f>
        <v>13.2</v>
      </c>
      <c r="L47" s="589">
        <f>((12*2*2)+(3*2)+(8*1))</f>
        <v>62</v>
      </c>
      <c r="M47" s="110">
        <f>L47/6</f>
        <v>10.3333333333333</v>
      </c>
      <c r="N47" s="111">
        <v>11</v>
      </c>
      <c r="O47" s="107" t="s">
        <v>346</v>
      </c>
    </row>
    <row r="48" spans="1:15" s="1" customFormat="1" ht="22.95" customHeight="1">
      <c r="A48" s="76"/>
      <c r="B48" s="77" t="s">
        <v>945</v>
      </c>
      <c r="C48" s="20"/>
      <c r="D48" s="81" t="s">
        <v>83</v>
      </c>
      <c r="E48" s="50">
        <f>K47</f>
        <v>13.2</v>
      </c>
      <c r="F48" s="28"/>
      <c r="G48" s="50"/>
      <c r="H48" s="50"/>
      <c r="I48" s="54"/>
      <c r="J48" s="108"/>
      <c r="K48" s="109"/>
      <c r="M48" s="110"/>
      <c r="N48" s="111"/>
      <c r="O48" s="107"/>
    </row>
    <row r="49" spans="1:15" s="1" customFormat="1" ht="22.95" customHeight="1">
      <c r="A49" s="76"/>
      <c r="B49" s="77" t="s">
        <v>947</v>
      </c>
      <c r="C49" s="20"/>
      <c r="D49" s="49"/>
      <c r="E49" s="50"/>
      <c r="F49" s="28"/>
      <c r="G49" s="50"/>
      <c r="H49" s="50"/>
      <c r="I49" s="54"/>
      <c r="J49" s="104" t="s">
        <v>948</v>
      </c>
      <c r="K49" s="104" t="s">
        <v>942</v>
      </c>
      <c r="L49" s="105" t="s">
        <v>943</v>
      </c>
      <c r="M49" s="105" t="s">
        <v>179</v>
      </c>
      <c r="N49" s="111"/>
      <c r="O49" s="107"/>
    </row>
    <row r="50" spans="1:15" s="1" customFormat="1" ht="22.95" customHeight="1">
      <c r="A50" s="85">
        <v>10</v>
      </c>
      <c r="B50" s="86" t="s">
        <v>949</v>
      </c>
      <c r="C50" s="87"/>
      <c r="D50" s="88" t="s">
        <v>83</v>
      </c>
      <c r="E50" s="80">
        <f>E46+E48</f>
        <v>33.36</v>
      </c>
      <c r="F50" s="28"/>
      <c r="G50" s="20"/>
      <c r="H50" s="20"/>
      <c r="I50" s="99"/>
      <c r="K50" s="109">
        <f>((0.75*4)*2.54)/100*L50</f>
        <v>8.2295999999999996</v>
      </c>
      <c r="L50" s="110">
        <f>(27*(2.3-0.3)*2)</f>
        <v>108</v>
      </c>
      <c r="M50" s="110" t="s">
        <v>950</v>
      </c>
      <c r="N50" s="111"/>
      <c r="O50" s="107" t="s">
        <v>346</v>
      </c>
    </row>
    <row r="51" spans="1:15" s="1" customFormat="1" ht="22.95" customHeight="1">
      <c r="A51" s="76"/>
      <c r="B51" s="77"/>
      <c r="C51" s="20"/>
      <c r="D51" s="81"/>
      <c r="E51" s="50"/>
      <c r="F51" s="28"/>
      <c r="G51" s="50"/>
      <c r="H51" s="50"/>
      <c r="I51" s="54"/>
      <c r="J51" s="114"/>
      <c r="N51" s="111"/>
      <c r="O51" s="107"/>
    </row>
    <row r="52" spans="1:15" s="1" customFormat="1" ht="22.95" customHeight="1">
      <c r="A52" s="82"/>
      <c r="B52" s="77"/>
      <c r="C52" s="20"/>
      <c r="D52" s="20"/>
      <c r="E52" s="83"/>
      <c r="F52" s="28"/>
      <c r="G52" s="50"/>
      <c r="H52" s="50"/>
      <c r="I52" s="54"/>
      <c r="J52" s="114"/>
      <c r="K52" s="109">
        <f>((3+3+1.5+1.5)*2.54)/100*L52</f>
        <v>12.3444</v>
      </c>
      <c r="L52" s="110">
        <f>(27*(2.3-0.3))</f>
        <v>54</v>
      </c>
      <c r="N52" s="111"/>
      <c r="O52" s="107"/>
    </row>
    <row r="53" spans="1:15" s="1" customFormat="1" ht="22.95" customHeight="1">
      <c r="A53" s="21"/>
      <c r="B53" s="84"/>
      <c r="C53" s="46"/>
      <c r="D53" s="81"/>
      <c r="E53" s="50"/>
      <c r="F53" s="28"/>
      <c r="G53" s="50"/>
      <c r="H53" s="50"/>
      <c r="I53" s="54"/>
      <c r="J53" s="115" t="s">
        <v>109</v>
      </c>
      <c r="K53" s="109">
        <f>SUM(K45:K52)</f>
        <v>53.933999999999997</v>
      </c>
      <c r="L53" s="107"/>
      <c r="M53" s="107"/>
      <c r="N53" s="107"/>
    </row>
    <row r="54" spans="1:15" s="1" customFormat="1" ht="22.95" customHeight="1">
      <c r="G54" s="28"/>
      <c r="H54" s="50"/>
      <c r="I54" s="54"/>
      <c r="K54" s="116" t="s">
        <v>842</v>
      </c>
      <c r="L54" s="117" t="s">
        <v>815</v>
      </c>
    </row>
    <row r="55" spans="1:15" s="1" customFormat="1" ht="22.95" customHeight="1">
      <c r="A55" s="13">
        <v>11</v>
      </c>
      <c r="B55" s="89" t="s">
        <v>951</v>
      </c>
      <c r="C55" s="43"/>
      <c r="D55" s="81" t="s">
        <v>83</v>
      </c>
      <c r="E55" s="50">
        <f>K55+L55</f>
        <v>149.16</v>
      </c>
      <c r="F55" s="28"/>
      <c r="G55" s="28"/>
      <c r="H55" s="50"/>
      <c r="I55" s="54"/>
      <c r="J55" s="113" t="s">
        <v>952</v>
      </c>
      <c r="K55" s="4">
        <f>((0.4+0.4+0.2)*(120-(0.2*27)))</f>
        <v>114.6</v>
      </c>
      <c r="L55" s="4">
        <f>((0.2*1.6*4)*(27))</f>
        <v>34.56</v>
      </c>
      <c r="M55" s="114" t="s">
        <v>83</v>
      </c>
    </row>
    <row r="56" spans="1:15" s="1" customFormat="1" ht="22.95" customHeight="1">
      <c r="A56" s="21"/>
      <c r="B56" s="22" t="s">
        <v>953</v>
      </c>
      <c r="C56" s="20"/>
      <c r="D56" s="81"/>
      <c r="E56" s="50"/>
      <c r="F56" s="28"/>
      <c r="G56" s="28"/>
      <c r="H56" s="50"/>
      <c r="I56" s="54"/>
      <c r="L56" s="1">
        <f>1.05+0.27</f>
        <v>1.32</v>
      </c>
    </row>
    <row r="57" spans="1:15" s="1" customFormat="1" ht="22.95" customHeight="1">
      <c r="A57" s="60"/>
      <c r="B57" s="33"/>
      <c r="C57" s="34"/>
      <c r="D57" s="90"/>
      <c r="E57" s="91"/>
      <c r="F57" s="64"/>
      <c r="G57" s="64"/>
      <c r="H57" s="91"/>
      <c r="I57" s="118"/>
    </row>
    <row r="58" spans="1:15" ht="22.95" customHeight="1"/>
    <row r="59" spans="1:15" ht="22.95" customHeight="1"/>
    <row r="60" spans="1:15" ht="22.95" customHeight="1">
      <c r="B60" s="119" t="s">
        <v>954</v>
      </c>
      <c r="J60" s="104" t="s">
        <v>948</v>
      </c>
      <c r="K60" s="104" t="s">
        <v>942</v>
      </c>
      <c r="L60" s="105" t="s">
        <v>943</v>
      </c>
      <c r="M60" s="105" t="s">
        <v>179</v>
      </c>
    </row>
    <row r="61" spans="1:15" s="1" customFormat="1" ht="22.95" customHeight="1">
      <c r="A61" s="76">
        <v>12</v>
      </c>
      <c r="B61" s="77" t="s">
        <v>955</v>
      </c>
      <c r="C61" s="20"/>
      <c r="D61" s="49" t="s">
        <v>346</v>
      </c>
      <c r="E61" s="50"/>
      <c r="F61" s="28"/>
      <c r="G61" s="50">
        <f>C20</f>
        <v>0</v>
      </c>
      <c r="H61" s="50"/>
      <c r="I61" s="54"/>
      <c r="J61" s="108">
        <v>2.1</v>
      </c>
      <c r="K61" s="109">
        <f>((0.5+0.5+0.5+0.5)*2.54)/100*M61*6</f>
        <v>5.5270400000000004</v>
      </c>
      <c r="L61" s="1">
        <f>1.7</f>
        <v>1.7</v>
      </c>
      <c r="M61" s="110">
        <f>L61*64/6</f>
        <v>18.133333333333301</v>
      </c>
      <c r="N61" s="111">
        <v>19</v>
      </c>
      <c r="O61" s="107" t="s">
        <v>346</v>
      </c>
    </row>
    <row r="62" spans="1:15" s="1" customFormat="1" ht="22.95" customHeight="1">
      <c r="A62" s="76"/>
      <c r="B62" s="77" t="s">
        <v>956</v>
      </c>
      <c r="C62" s="20"/>
      <c r="D62" s="79"/>
      <c r="E62" s="80"/>
      <c r="F62" s="28"/>
      <c r="G62" s="50"/>
      <c r="H62" s="50"/>
      <c r="I62" s="54"/>
      <c r="J62" s="108"/>
      <c r="K62" s="109"/>
      <c r="M62" s="110"/>
      <c r="N62" s="111"/>
      <c r="O62" s="107"/>
    </row>
    <row r="63" spans="1:15" s="1" customFormat="1" ht="22.95" customHeight="1">
      <c r="A63" s="76"/>
      <c r="B63" s="77" t="s">
        <v>945</v>
      </c>
      <c r="C63" s="20"/>
      <c r="D63" s="81" t="s">
        <v>83</v>
      </c>
      <c r="E63" s="50">
        <f>K61</f>
        <v>5.5270400000000004</v>
      </c>
      <c r="F63" s="28"/>
      <c r="G63" s="50"/>
      <c r="H63" s="50"/>
      <c r="I63" s="54"/>
      <c r="J63" s="67" t="s">
        <v>179</v>
      </c>
      <c r="K63" s="112">
        <v>27</v>
      </c>
      <c r="L63" s="113" t="s">
        <v>957</v>
      </c>
      <c r="M63" s="110"/>
      <c r="N63" s="111"/>
      <c r="O63" s="107"/>
    </row>
    <row r="64" spans="1:15" s="1" customFormat="1" ht="22.95" customHeight="1">
      <c r="A64" s="82">
        <v>13</v>
      </c>
      <c r="B64" s="77" t="s">
        <v>958</v>
      </c>
      <c r="C64" s="20"/>
      <c r="D64" s="20"/>
      <c r="E64" s="83"/>
      <c r="F64" s="28"/>
      <c r="G64" s="50"/>
      <c r="H64" s="50"/>
      <c r="I64" s="54"/>
      <c r="J64" s="114"/>
      <c r="K64" s="109">
        <f>((3+3+1.5+1.5)*2.54)/100*L64</f>
        <v>4.2976799999999997</v>
      </c>
      <c r="L64" s="110">
        <f>((1.9*2)+(5*3))</f>
        <v>18.8</v>
      </c>
      <c r="N64" s="111"/>
      <c r="O64" s="107"/>
    </row>
    <row r="65" spans="1:15" s="1" customFormat="1" ht="22.95" customHeight="1">
      <c r="A65" s="21"/>
      <c r="B65" s="84" t="s">
        <v>945</v>
      </c>
      <c r="C65" s="46"/>
      <c r="D65" s="81" t="s">
        <v>83</v>
      </c>
      <c r="E65" s="78">
        <f>K64</f>
        <v>4.2976799999999997</v>
      </c>
      <c r="F65" s="28"/>
      <c r="G65" s="50"/>
      <c r="H65" s="50"/>
      <c r="I65" s="54"/>
      <c r="J65" s="115" t="s">
        <v>109</v>
      </c>
      <c r="K65" s="109">
        <f>SUM(K51:K64)</f>
        <v>217.70312000000001</v>
      </c>
      <c r="L65" s="107"/>
      <c r="M65" s="107"/>
      <c r="N65" s="107"/>
    </row>
    <row r="66" spans="1:15" ht="22.05" customHeight="1">
      <c r="D66" s="120" t="s">
        <v>959</v>
      </c>
      <c r="E66" s="121">
        <f>E63+E65</f>
        <v>9.8247199999999992</v>
      </c>
      <c r="F66" s="81" t="s">
        <v>83</v>
      </c>
    </row>
    <row r="67" spans="1:15" ht="22.95" customHeight="1">
      <c r="B67" s="119" t="s">
        <v>960</v>
      </c>
      <c r="J67" s="104" t="s">
        <v>948</v>
      </c>
      <c r="K67" s="104" t="s">
        <v>942</v>
      </c>
      <c r="L67" s="105" t="s">
        <v>943</v>
      </c>
      <c r="M67" s="105" t="s">
        <v>179</v>
      </c>
    </row>
    <row r="68" spans="1:15" s="1" customFormat="1" ht="22.95" customHeight="1">
      <c r="A68" s="76">
        <v>14</v>
      </c>
      <c r="B68" s="77" t="s">
        <v>961</v>
      </c>
      <c r="C68" s="20"/>
      <c r="D68" s="49" t="s">
        <v>346</v>
      </c>
      <c r="E68" s="50"/>
      <c r="F68" s="28"/>
      <c r="G68" s="50">
        <f>C27</f>
        <v>0</v>
      </c>
      <c r="H68" s="50"/>
      <c r="I68" s="54"/>
      <c r="J68" s="109">
        <v>10.130000000000001</v>
      </c>
      <c r="K68" s="109">
        <f>(2*22/7*0.0254*L68)</f>
        <v>2.9792022857142899</v>
      </c>
      <c r="L68" s="1">
        <f>(1.9*2+(2.5*2))+9.86</f>
        <v>18.66</v>
      </c>
      <c r="M68" s="110"/>
      <c r="N68" s="111"/>
      <c r="O68" s="107" t="s">
        <v>346</v>
      </c>
    </row>
    <row r="69" spans="1:15" s="1" customFormat="1" ht="22.95" customHeight="1">
      <c r="A69" s="76"/>
      <c r="B69" s="77" t="s">
        <v>956</v>
      </c>
      <c r="C69" s="20"/>
      <c r="D69" s="79"/>
      <c r="E69" s="80"/>
      <c r="F69" s="28"/>
      <c r="G69" s="50"/>
      <c r="H69" s="50"/>
      <c r="I69" s="54"/>
      <c r="J69" s="108"/>
      <c r="K69" s="109"/>
      <c r="M69" s="110"/>
      <c r="N69" s="111"/>
      <c r="O69" s="107"/>
    </row>
    <row r="70" spans="1:15" s="1" customFormat="1" ht="22.95" customHeight="1">
      <c r="A70" s="76"/>
      <c r="B70" s="77" t="s">
        <v>945</v>
      </c>
      <c r="C70" s="20"/>
      <c r="D70" s="81" t="s">
        <v>83</v>
      </c>
      <c r="E70" s="50">
        <f>K68</f>
        <v>2.9792022857142899</v>
      </c>
      <c r="F70" s="28"/>
      <c r="G70" s="50"/>
      <c r="H70" s="50"/>
      <c r="I70" s="54"/>
      <c r="J70" s="67" t="s">
        <v>179</v>
      </c>
      <c r="K70" s="112">
        <v>27</v>
      </c>
      <c r="L70" s="113" t="s">
        <v>957</v>
      </c>
      <c r="M70" s="110"/>
      <c r="N70" s="111"/>
      <c r="O70" s="107"/>
    </row>
    <row r="71" spans="1:15" s="1" customFormat="1" ht="22.95" customHeight="1">
      <c r="A71" s="82">
        <v>15</v>
      </c>
      <c r="B71" s="77" t="s">
        <v>958</v>
      </c>
      <c r="C71" s="20"/>
      <c r="D71" s="20"/>
      <c r="E71" s="83"/>
      <c r="F71" s="28"/>
      <c r="G71" s="50"/>
      <c r="H71" s="50"/>
      <c r="I71" s="54"/>
      <c r="J71" s="114"/>
      <c r="K71" s="109">
        <f>((3+3+1.5+1.5)*2.54)/100*L71</f>
        <v>4.2976799999999997</v>
      </c>
      <c r="L71" s="110">
        <f>((1.9*2)+(5*3))</f>
        <v>18.8</v>
      </c>
      <c r="N71" s="111"/>
      <c r="O71" s="107"/>
    </row>
    <row r="72" spans="1:15" s="1" customFormat="1" ht="22.95" customHeight="1">
      <c r="A72" s="21"/>
      <c r="B72" s="84" t="s">
        <v>945</v>
      </c>
      <c r="C72" s="46"/>
      <c r="D72" s="81" t="s">
        <v>83</v>
      </c>
      <c r="E72" s="78">
        <v>1.5</v>
      </c>
      <c r="F72" s="28"/>
      <c r="G72" s="50"/>
      <c r="H72" s="50"/>
      <c r="I72" s="54"/>
      <c r="J72" s="115" t="s">
        <v>109</v>
      </c>
      <c r="K72" s="109">
        <f>SUM(K58:K71)</f>
        <v>288.80472228571398</v>
      </c>
      <c r="L72" s="107"/>
      <c r="M72" s="107"/>
      <c r="N72" s="107"/>
    </row>
    <row r="73" spans="1:15" ht="22.05" customHeight="1">
      <c r="E73" s="122">
        <f>E70+E72</f>
        <v>4.4792022857142904</v>
      </c>
    </row>
    <row r="74" spans="1:15" ht="22.95" customHeight="1">
      <c r="C74" s="120"/>
      <c r="D74" s="120" t="s">
        <v>959</v>
      </c>
      <c r="E74" s="123">
        <f>E66+E73+E50</f>
        <v>47.6639222857143</v>
      </c>
      <c r="F74" s="81" t="s">
        <v>83</v>
      </c>
    </row>
  </sheetData>
  <mergeCells count="8">
    <mergeCell ref="A3:A4"/>
    <mergeCell ref="A26:A27"/>
    <mergeCell ref="D3:D4"/>
    <mergeCell ref="D26:D27"/>
    <mergeCell ref="E3:E4"/>
    <mergeCell ref="E26:E27"/>
    <mergeCell ref="B3:C4"/>
    <mergeCell ref="B26:C27"/>
  </mergeCells>
  <pageMargins left="4.3055555555555597E-2" right="0.70069444444444495" top="0.75138888888888899" bottom="0.75138888888888899" header="0.29861111111111099" footer="0.29861111111111099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2060"/>
  </sheetPr>
  <dimension ref="A1:K28"/>
  <sheetViews>
    <sheetView topLeftCell="A23" zoomScale="130" zoomScaleNormal="130" workbookViewId="0">
      <selection activeCell="A2" sqref="A2:XFD28"/>
    </sheetView>
  </sheetViews>
  <sheetFormatPr defaultColWidth="8" defaultRowHeight="21"/>
  <cols>
    <col min="1" max="1" width="6.33203125" style="311" customWidth="1"/>
    <col min="2" max="2" width="8" style="311"/>
    <col min="3" max="3" width="26.77734375" style="311" customWidth="1"/>
    <col min="4" max="4" width="6.21875" style="311" customWidth="1"/>
    <col min="5" max="5" width="7" style="311" customWidth="1"/>
    <col min="6" max="6" width="8.109375" style="311"/>
    <col min="7" max="7" width="9.109375" style="311"/>
    <col min="8" max="8" width="9.88671875" style="311" customWidth="1"/>
    <col min="9" max="9" width="8" style="311"/>
    <col min="10" max="10" width="10.88671875" style="311" customWidth="1"/>
    <col min="11" max="16384" width="8" style="311"/>
  </cols>
  <sheetData>
    <row r="1" spans="1:11" ht="22.2">
      <c r="A1" s="2054"/>
      <c r="B1" s="2054"/>
      <c r="C1" s="2054"/>
      <c r="D1" s="2054"/>
      <c r="E1" s="2054"/>
      <c r="F1" s="2054"/>
      <c r="G1" s="2054"/>
      <c r="H1" s="2054"/>
    </row>
    <row r="2" spans="1:11" ht="34.200000000000003">
      <c r="A2" s="2093" t="s">
        <v>725</v>
      </c>
      <c r="B2" s="2093"/>
      <c r="C2" s="2093"/>
      <c r="D2" s="2093"/>
      <c r="E2" s="2093"/>
      <c r="F2" s="2093"/>
      <c r="G2" s="2093"/>
      <c r="H2" s="2093"/>
    </row>
    <row r="3" spans="1:11" ht="22.2">
      <c r="A3" s="2094" t="s">
        <v>726</v>
      </c>
      <c r="B3" s="2095"/>
      <c r="C3" s="2095"/>
      <c r="D3" s="2095"/>
      <c r="E3" s="2095"/>
      <c r="F3" s="2095"/>
      <c r="G3" s="2095"/>
      <c r="H3" s="2096"/>
    </row>
    <row r="4" spans="1:11">
      <c r="A4" s="2099" t="s">
        <v>95</v>
      </c>
      <c r="B4" s="2105" t="s">
        <v>96</v>
      </c>
      <c r="C4" s="2106"/>
      <c r="D4" s="2101" t="s">
        <v>179</v>
      </c>
      <c r="E4" s="2101" t="s">
        <v>11</v>
      </c>
      <c r="F4" s="352" t="s">
        <v>180</v>
      </c>
      <c r="G4" s="353" t="s">
        <v>727</v>
      </c>
      <c r="H4" s="2103" t="s">
        <v>100</v>
      </c>
    </row>
    <row r="5" spans="1:11">
      <c r="A5" s="2100"/>
      <c r="B5" s="2107"/>
      <c r="C5" s="2108"/>
      <c r="D5" s="2102"/>
      <c r="E5" s="2102"/>
      <c r="F5" s="520" t="s">
        <v>31</v>
      </c>
      <c r="G5" s="520" t="s">
        <v>31</v>
      </c>
      <c r="H5" s="2104"/>
    </row>
    <row r="6" spans="1:11" ht="22.2">
      <c r="A6" s="521"/>
      <c r="B6" s="522" t="s">
        <v>728</v>
      </c>
      <c r="C6" s="546"/>
      <c r="D6" s="547"/>
      <c r="E6" s="547"/>
      <c r="F6" s="548"/>
      <c r="G6" s="549" t="s">
        <v>460</v>
      </c>
      <c r="H6" s="550"/>
    </row>
    <row r="7" spans="1:11">
      <c r="A7" s="362">
        <v>1</v>
      </c>
      <c r="B7" s="551" t="s">
        <v>729</v>
      </c>
      <c r="C7" s="552"/>
      <c r="D7" s="553"/>
      <c r="E7" s="554"/>
      <c r="F7" s="555"/>
      <c r="G7" s="556" t="s">
        <v>460</v>
      </c>
      <c r="H7" s="369" t="s">
        <v>460</v>
      </c>
    </row>
    <row r="8" spans="1:11" ht="23.4">
      <c r="A8" s="557"/>
      <c r="B8" s="558" t="s">
        <v>730</v>
      </c>
      <c r="C8" s="558"/>
      <c r="D8" s="559">
        <v>13</v>
      </c>
      <c r="E8" s="560" t="s">
        <v>731</v>
      </c>
      <c r="F8" s="561">
        <v>5.14</v>
      </c>
      <c r="G8" s="562">
        <f t="shared" ref="G8:G11" si="0">D8*F8</f>
        <v>66.819999999999993</v>
      </c>
      <c r="H8" s="563" t="s">
        <v>732</v>
      </c>
      <c r="I8" s="582">
        <v>91</v>
      </c>
      <c r="J8" s="583">
        <f t="shared" ref="J8:J11" si="1">D8*F8</f>
        <v>66.819999999999993</v>
      </c>
    </row>
    <row r="9" spans="1:11" ht="23.4">
      <c r="A9" s="557"/>
      <c r="B9" s="558" t="s">
        <v>733</v>
      </c>
      <c r="C9" s="558"/>
      <c r="D9" s="564">
        <v>2.3E-2</v>
      </c>
      <c r="E9" s="560" t="s">
        <v>81</v>
      </c>
      <c r="F9" s="561">
        <f>'[72]2.ข้อมูลวัสดุ'!D16/1000</f>
        <v>2.3364500000000001</v>
      </c>
      <c r="G9" s="562">
        <f t="shared" si="0"/>
        <v>5.3738349999999997E-2</v>
      </c>
      <c r="H9" s="563" t="s">
        <v>734</v>
      </c>
      <c r="I9" s="582">
        <v>0.05</v>
      </c>
      <c r="J9" s="583">
        <f t="shared" si="1"/>
        <v>5.3738349999999997E-2</v>
      </c>
    </row>
    <row r="10" spans="1:11" ht="23.4">
      <c r="A10" s="557"/>
      <c r="B10" s="558" t="s">
        <v>735</v>
      </c>
      <c r="C10" s="558"/>
      <c r="D10" s="559">
        <v>0.11</v>
      </c>
      <c r="E10" s="560" t="s">
        <v>184</v>
      </c>
      <c r="F10" s="561">
        <f>'3.สืบท่อโฟมลูกรังทรายเหล็กป้าย'!G12</f>
        <v>254.65</v>
      </c>
      <c r="G10" s="562">
        <f t="shared" si="0"/>
        <v>28.011500000000002</v>
      </c>
      <c r="H10" s="377" t="s">
        <v>736</v>
      </c>
      <c r="I10" s="582">
        <v>40.090000000000003</v>
      </c>
      <c r="J10" s="583">
        <f t="shared" si="1"/>
        <v>28.011500000000002</v>
      </c>
    </row>
    <row r="11" spans="1:11" ht="23.4">
      <c r="A11" s="557"/>
      <c r="B11" s="558" t="s">
        <v>737</v>
      </c>
      <c r="C11" s="558"/>
      <c r="D11" s="559">
        <v>6</v>
      </c>
      <c r="E11" s="560" t="s">
        <v>738</v>
      </c>
      <c r="F11" s="565">
        <v>5.0000000000000001E-3</v>
      </c>
      <c r="G11" s="562">
        <f t="shared" si="0"/>
        <v>0.03</v>
      </c>
      <c r="H11" s="379" t="s">
        <v>739</v>
      </c>
      <c r="I11" s="582">
        <v>0.02</v>
      </c>
      <c r="J11" s="583">
        <f t="shared" si="1"/>
        <v>0.03</v>
      </c>
    </row>
    <row r="12" spans="1:11">
      <c r="A12" s="566"/>
      <c r="B12" s="558" t="s">
        <v>740</v>
      </c>
      <c r="C12" s="558"/>
      <c r="D12" s="567"/>
      <c r="E12" s="567"/>
      <c r="F12" s="568"/>
      <c r="G12" s="569">
        <f>SUM(G8:G11)</f>
        <v>94.915238349999996</v>
      </c>
      <c r="H12" s="570" t="s">
        <v>445</v>
      </c>
      <c r="I12" s="569">
        <v>131.16</v>
      </c>
      <c r="J12" s="569">
        <v>131.16</v>
      </c>
      <c r="K12" s="311">
        <f>3/1000</f>
        <v>3.0000000000000001E-3</v>
      </c>
    </row>
    <row r="13" spans="1:11">
      <c r="A13" s="557"/>
      <c r="B13" s="571" t="s">
        <v>741</v>
      </c>
      <c r="C13" s="571"/>
      <c r="D13" s="572">
        <v>1</v>
      </c>
      <c r="E13" s="573" t="s">
        <v>83</v>
      </c>
      <c r="F13" s="574" t="s">
        <v>742</v>
      </c>
      <c r="G13" s="575">
        <f>G12</f>
        <v>94.915238349999996</v>
      </c>
      <c r="H13" s="576" t="s">
        <v>445</v>
      </c>
      <c r="I13" s="581">
        <v>131.16</v>
      </c>
      <c r="J13" s="581">
        <v>131.16</v>
      </c>
    </row>
    <row r="14" spans="1:11">
      <c r="A14" s="362">
        <v>2</v>
      </c>
      <c r="B14" s="551" t="s">
        <v>743</v>
      </c>
      <c r="C14" s="552"/>
      <c r="D14" s="553"/>
      <c r="E14" s="554"/>
      <c r="F14" s="555"/>
      <c r="G14" s="556" t="s">
        <v>460</v>
      </c>
      <c r="H14" s="369" t="s">
        <v>460</v>
      </c>
    </row>
    <row r="15" spans="1:11" ht="23.4">
      <c r="A15" s="557"/>
      <c r="B15" s="558" t="s">
        <v>744</v>
      </c>
      <c r="C15" s="558"/>
      <c r="D15" s="559">
        <v>1</v>
      </c>
      <c r="E15" s="560" t="s">
        <v>731</v>
      </c>
      <c r="F15" s="561">
        <v>50</v>
      </c>
      <c r="G15" s="562">
        <f>D15*F15</f>
        <v>50</v>
      </c>
      <c r="H15" s="577" t="s">
        <v>745</v>
      </c>
      <c r="I15" s="582">
        <v>50</v>
      </c>
      <c r="J15" s="562">
        <f t="shared" ref="J15:J18" si="2">D15*F15</f>
        <v>50</v>
      </c>
    </row>
    <row r="16" spans="1:11" ht="23.4">
      <c r="A16" s="557"/>
      <c r="B16" s="558" t="s">
        <v>746</v>
      </c>
      <c r="C16" s="558"/>
      <c r="D16" s="559">
        <f>5.7/25</f>
        <v>0.22800000000000001</v>
      </c>
      <c r="E16" s="560" t="s">
        <v>81</v>
      </c>
      <c r="F16" s="561">
        <f>F9</f>
        <v>2.3364500000000001</v>
      </c>
      <c r="G16" s="562">
        <f>J16</f>
        <v>0.53271060000000003</v>
      </c>
      <c r="H16" s="578" t="s">
        <v>747</v>
      </c>
      <c r="I16" s="582">
        <v>0.55000000000000004</v>
      </c>
      <c r="J16" s="584">
        <f t="shared" si="2"/>
        <v>0.53271060000000003</v>
      </c>
      <c r="K16" s="311">
        <f>0.23*2.39</f>
        <v>0.54969999999999997</v>
      </c>
    </row>
    <row r="17" spans="1:11" ht="23.4">
      <c r="A17" s="557"/>
      <c r="B17" s="558" t="s">
        <v>748</v>
      </c>
      <c r="C17" s="558"/>
      <c r="D17" s="559">
        <f>0.38/25</f>
        <v>1.52E-2</v>
      </c>
      <c r="E17" s="560" t="s">
        <v>81</v>
      </c>
      <c r="F17" s="561">
        <v>22</v>
      </c>
      <c r="G17" s="562">
        <v>0.44</v>
      </c>
      <c r="H17" s="577" t="s">
        <v>745</v>
      </c>
      <c r="I17" s="582">
        <v>0.44</v>
      </c>
      <c r="J17" s="583">
        <f t="shared" si="2"/>
        <v>0.33439999999999998</v>
      </c>
      <c r="K17" s="585">
        <f>0.02*22</f>
        <v>0.44</v>
      </c>
    </row>
    <row r="18" spans="1:11" ht="23.4">
      <c r="A18" s="557"/>
      <c r="B18" s="558" t="s">
        <v>749</v>
      </c>
      <c r="C18" s="558"/>
      <c r="D18" s="559">
        <f>3.95/25</f>
        <v>0.158</v>
      </c>
      <c r="E18" s="560" t="s">
        <v>738</v>
      </c>
      <c r="F18" s="565">
        <v>3.0000000000000001E-3</v>
      </c>
      <c r="G18" s="579">
        <f t="shared" ref="G18:G25" si="3">D18*F18</f>
        <v>4.7399999999999997E-4</v>
      </c>
      <c r="H18" s="580"/>
      <c r="I18" s="582">
        <v>5.0000000000000001E-4</v>
      </c>
      <c r="J18" s="586">
        <f t="shared" si="2"/>
        <v>4.7399999999999997E-4</v>
      </c>
    </row>
    <row r="19" spans="1:11">
      <c r="A19" s="566"/>
      <c r="B19" s="558" t="s">
        <v>750</v>
      </c>
      <c r="C19" s="558"/>
      <c r="D19" s="567"/>
      <c r="E19" s="567"/>
      <c r="F19" s="568"/>
      <c r="G19" s="569">
        <f t="shared" ref="G19:J19" si="4">SUM(G15:G18)</f>
        <v>50.973184600000003</v>
      </c>
      <c r="H19" s="570"/>
      <c r="I19" s="569">
        <f t="shared" si="4"/>
        <v>50.990499999999997</v>
      </c>
      <c r="J19" s="569">
        <f t="shared" si="4"/>
        <v>50.867584600000001</v>
      </c>
    </row>
    <row r="20" spans="1:11">
      <c r="A20" s="557"/>
      <c r="B20" s="571" t="s">
        <v>741</v>
      </c>
      <c r="C20" s="571"/>
      <c r="D20" s="572">
        <v>1</v>
      </c>
      <c r="E20" s="573" t="s">
        <v>83</v>
      </c>
      <c r="F20" s="574" t="s">
        <v>742</v>
      </c>
      <c r="G20" s="581">
        <f>G19</f>
        <v>50.973184600000003</v>
      </c>
      <c r="H20" s="576" t="s">
        <v>445</v>
      </c>
      <c r="I20" s="569">
        <f>SUM(I16:I19)</f>
        <v>51.981000000000002</v>
      </c>
      <c r="J20" s="581">
        <v>131.16</v>
      </c>
    </row>
    <row r="21" spans="1:11">
      <c r="A21" s="362">
        <v>3</v>
      </c>
      <c r="B21" s="551" t="s">
        <v>751</v>
      </c>
      <c r="C21" s="552"/>
      <c r="D21" s="553"/>
      <c r="E21" s="554"/>
      <c r="F21" s="555"/>
      <c r="G21" s="556" t="s">
        <v>460</v>
      </c>
      <c r="H21" s="369" t="s">
        <v>460</v>
      </c>
    </row>
    <row r="22" spans="1:11" ht="23.4">
      <c r="A22" s="557"/>
      <c r="B22" s="558" t="s">
        <v>752</v>
      </c>
      <c r="C22" s="558"/>
      <c r="D22" s="559">
        <v>12.05</v>
      </c>
      <c r="E22" s="560" t="s">
        <v>81</v>
      </c>
      <c r="F22" s="561">
        <f>'[72]2.ข้อมูลวัสดุ'!D16/1000</f>
        <v>2.3364500000000001</v>
      </c>
      <c r="G22" s="562">
        <f t="shared" si="3"/>
        <v>28.154222499999999</v>
      </c>
      <c r="H22" s="544" t="str">
        <f>H9</f>
        <v>พาณิช์ จว.อุดรธานี</v>
      </c>
      <c r="I22" s="582">
        <v>28.8</v>
      </c>
      <c r="J22" s="583">
        <f t="shared" ref="J22:J25" si="5">D22*F22</f>
        <v>28.154222499999999</v>
      </c>
      <c r="K22" s="311">
        <f>12.05*2.39</f>
        <v>28.799499999999998</v>
      </c>
    </row>
    <row r="23" spans="1:11" ht="23.4">
      <c r="A23" s="557"/>
      <c r="B23" s="558" t="s">
        <v>753</v>
      </c>
      <c r="C23" s="558"/>
      <c r="D23" s="559">
        <v>0.5</v>
      </c>
      <c r="E23" s="560" t="s">
        <v>738</v>
      </c>
      <c r="F23" s="561">
        <f>'[74]3.สืบท่อโฟมลูกรังทรายเหล็กป้าย '!F18</f>
        <v>44</v>
      </c>
      <c r="G23" s="562">
        <f t="shared" si="3"/>
        <v>22</v>
      </c>
      <c r="H23" s="544" t="s">
        <v>754</v>
      </c>
      <c r="I23" s="582">
        <v>22</v>
      </c>
      <c r="J23" s="587">
        <f t="shared" si="5"/>
        <v>22</v>
      </c>
    </row>
    <row r="24" spans="1:11" ht="23.4">
      <c r="A24" s="557"/>
      <c r="B24" s="558" t="s">
        <v>755</v>
      </c>
      <c r="C24" s="558"/>
      <c r="D24" s="559">
        <v>0.04</v>
      </c>
      <c r="E24" s="560" t="s">
        <v>184</v>
      </c>
      <c r="F24" s="561">
        <f>'3.สืบท่อโฟมลูกรังทรายเหล็กป้าย'!G12</f>
        <v>254.65</v>
      </c>
      <c r="G24" s="562">
        <f t="shared" si="3"/>
        <v>10.186</v>
      </c>
      <c r="H24" s="377" t="s">
        <v>736</v>
      </c>
      <c r="I24" s="582">
        <v>14.58</v>
      </c>
      <c r="J24" s="583">
        <f t="shared" si="5"/>
        <v>10.186</v>
      </c>
    </row>
    <row r="25" spans="1:11" ht="23.4">
      <c r="A25" s="557"/>
      <c r="B25" s="558" t="s">
        <v>756</v>
      </c>
      <c r="C25" s="558"/>
      <c r="D25" s="559">
        <v>3</v>
      </c>
      <c r="E25" s="560" t="s">
        <v>738</v>
      </c>
      <c r="F25" s="565">
        <v>5.0000000000000001E-3</v>
      </c>
      <c r="G25" s="562">
        <f t="shared" si="3"/>
        <v>1.4999999999999999E-2</v>
      </c>
      <c r="H25" s="379" t="s">
        <v>739</v>
      </c>
      <c r="I25" s="582">
        <v>0.01</v>
      </c>
      <c r="J25" s="579">
        <f t="shared" si="5"/>
        <v>1.4999999999999999E-2</v>
      </c>
    </row>
    <row r="26" spans="1:11">
      <c r="A26" s="566"/>
      <c r="B26" s="558" t="s">
        <v>757</v>
      </c>
      <c r="C26" s="558"/>
      <c r="D26" s="567"/>
      <c r="E26" s="567"/>
      <c r="F26" s="568"/>
      <c r="G26" s="569">
        <f>SUM(G22:G25)</f>
        <v>60.355222500000004</v>
      </c>
      <c r="H26" s="570" t="s">
        <v>445</v>
      </c>
      <c r="I26" s="569">
        <f>SUM(I22:I25)</f>
        <v>65.39</v>
      </c>
      <c r="J26" s="569">
        <f>SUM(J22:J25)</f>
        <v>60.355222500000004</v>
      </c>
    </row>
    <row r="27" spans="1:11">
      <c r="A27" s="557"/>
      <c r="B27" s="571" t="s">
        <v>741</v>
      </c>
      <c r="C27" s="571"/>
      <c r="D27" s="572">
        <v>1</v>
      </c>
      <c r="E27" s="573" t="s">
        <v>83</v>
      </c>
      <c r="F27" s="574" t="s">
        <v>742</v>
      </c>
      <c r="G27" s="575">
        <f>G26</f>
        <v>60.355222500000004</v>
      </c>
      <c r="H27" s="576" t="s">
        <v>445</v>
      </c>
      <c r="I27" s="569">
        <f>SUM(I23:I26)</f>
        <v>101.98</v>
      </c>
      <c r="J27" s="581">
        <f>SUM(J22:J25)</f>
        <v>60.355222500000004</v>
      </c>
    </row>
    <row r="28" spans="1:11">
      <c r="A28" s="399"/>
      <c r="B28" s="2097"/>
      <c r="C28" s="2098"/>
      <c r="D28" s="400"/>
      <c r="E28" s="400"/>
      <c r="F28" s="400"/>
      <c r="G28" s="538"/>
      <c r="H28" s="539"/>
    </row>
  </sheetData>
  <mergeCells count="9">
    <mergeCell ref="A1:H1"/>
    <mergeCell ref="A2:H2"/>
    <mergeCell ref="A3:H3"/>
    <mergeCell ref="B28:C28"/>
    <mergeCell ref="A4:A5"/>
    <mergeCell ref="D4:D5"/>
    <mergeCell ref="E4:E5"/>
    <mergeCell ref="H4:H5"/>
    <mergeCell ref="B4:C5"/>
  </mergeCells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2060"/>
  </sheetPr>
  <dimension ref="A1:L20"/>
  <sheetViews>
    <sheetView topLeftCell="A5" zoomScale="130" zoomScaleNormal="130" workbookViewId="0">
      <selection activeCell="G20" sqref="G20"/>
    </sheetView>
  </sheetViews>
  <sheetFormatPr defaultColWidth="8" defaultRowHeight="21"/>
  <cols>
    <col min="1" max="1" width="5.5546875" style="311" customWidth="1"/>
    <col min="2" max="2" width="8" style="311"/>
    <col min="3" max="3" width="28.109375" style="311" customWidth="1"/>
    <col min="4" max="4" width="6.21875" style="311" customWidth="1"/>
    <col min="5" max="5" width="7" style="311" customWidth="1"/>
    <col min="6" max="7" width="8" style="311"/>
    <col min="8" max="8" width="9.77734375" style="311" customWidth="1"/>
    <col min="9" max="9" width="9.109375" style="311"/>
    <col min="10" max="10" width="9.88671875" style="311" customWidth="1"/>
    <col min="11" max="16384" width="8" style="311"/>
  </cols>
  <sheetData>
    <row r="1" spans="1:12" ht="22.2">
      <c r="A1" s="2071"/>
      <c r="B1" s="2071"/>
      <c r="C1" s="2071"/>
      <c r="D1" s="2071"/>
      <c r="E1" s="2071"/>
      <c r="F1" s="2071"/>
      <c r="G1" s="2071"/>
      <c r="H1" s="2071"/>
    </row>
    <row r="2" spans="1:12" ht="34.200000000000003">
      <c r="A2" s="2093" t="s">
        <v>725</v>
      </c>
      <c r="B2" s="2093"/>
      <c r="C2" s="2093"/>
      <c r="D2" s="2093"/>
      <c r="E2" s="2093"/>
      <c r="F2" s="2093"/>
      <c r="G2" s="2093"/>
      <c r="H2" s="2093"/>
    </row>
    <row r="3" spans="1:12" ht="22.2">
      <c r="A3" s="2094" t="s">
        <v>726</v>
      </c>
      <c r="B3" s="2095"/>
      <c r="C3" s="2095"/>
      <c r="D3" s="2095"/>
      <c r="E3" s="2095"/>
      <c r="F3" s="2095"/>
      <c r="G3" s="2095"/>
      <c r="H3" s="2096"/>
    </row>
    <row r="4" spans="1:12">
      <c r="A4" s="2099" t="s">
        <v>95</v>
      </c>
      <c r="B4" s="2105" t="s">
        <v>96</v>
      </c>
      <c r="C4" s="2115"/>
      <c r="D4" s="2101" t="s">
        <v>179</v>
      </c>
      <c r="E4" s="2101" t="s">
        <v>11</v>
      </c>
      <c r="F4" s="352" t="s">
        <v>180</v>
      </c>
      <c r="G4" s="353" t="s">
        <v>727</v>
      </c>
      <c r="H4" s="2103" t="s">
        <v>100</v>
      </c>
    </row>
    <row r="5" spans="1:12">
      <c r="A5" s="2112"/>
      <c r="B5" s="2116"/>
      <c r="C5" s="2117"/>
      <c r="D5" s="2113"/>
      <c r="E5" s="2113"/>
      <c r="F5" s="354" t="s">
        <v>31</v>
      </c>
      <c r="G5" s="354" t="s">
        <v>31</v>
      </c>
      <c r="H5" s="2114"/>
    </row>
    <row r="6" spans="1:12" ht="22.2">
      <c r="A6" s="355"/>
      <c r="B6" s="356" t="s">
        <v>728</v>
      </c>
      <c r="C6" s="357"/>
      <c r="D6" s="358"/>
      <c r="E6" s="358"/>
      <c r="F6" s="359"/>
      <c r="G6" s="360" t="s">
        <v>460</v>
      </c>
      <c r="H6" s="361"/>
    </row>
    <row r="7" spans="1:12">
      <c r="A7" s="362">
        <v>1</v>
      </c>
      <c r="B7" s="363" t="s">
        <v>962</v>
      </c>
      <c r="C7" s="364"/>
      <c r="D7" s="365"/>
      <c r="E7" s="366"/>
      <c r="F7" s="367"/>
      <c r="G7" s="368" t="s">
        <v>460</v>
      </c>
      <c r="H7" s="369" t="s">
        <v>460</v>
      </c>
    </row>
    <row r="8" spans="1:12" ht="23.4">
      <c r="A8" s="370"/>
      <c r="B8" s="371" t="s">
        <v>963</v>
      </c>
      <c r="C8" s="371"/>
      <c r="D8" s="372">
        <v>20.02</v>
      </c>
      <c r="E8" s="373" t="s">
        <v>81</v>
      </c>
      <c r="F8" s="374">
        <f>'2.ข้อมูลวัสดุ'!D16/1000</f>
        <v>2.3364500000000001</v>
      </c>
      <c r="G8" s="375">
        <f>D8*F8</f>
        <v>46.775728999999998</v>
      </c>
      <c r="H8" s="376" t="s">
        <v>964</v>
      </c>
      <c r="I8" s="404">
        <f>20.02*2.39</f>
        <v>47.847799999999999</v>
      </c>
      <c r="J8" s="311">
        <v>47.85</v>
      </c>
    </row>
    <row r="9" spans="1:12" ht="23.4">
      <c r="A9" s="370"/>
      <c r="B9" s="371" t="s">
        <v>965</v>
      </c>
      <c r="C9" s="371"/>
      <c r="D9" s="372">
        <v>0.11</v>
      </c>
      <c r="E9" s="373" t="s">
        <v>184</v>
      </c>
      <c r="F9" s="374">
        <f>'3.สืบท่อโฟมลูกรังทรายเหล็กป้าย'!G12</f>
        <v>254.65</v>
      </c>
      <c r="G9" s="375">
        <f>D9*F9</f>
        <v>28.011500000000002</v>
      </c>
      <c r="H9" s="377" t="s">
        <v>736</v>
      </c>
      <c r="I9" s="404">
        <f>0.11*364.49</f>
        <v>40.093899999999998</v>
      </c>
      <c r="J9" s="311">
        <v>40.090000000000003</v>
      </c>
    </row>
    <row r="10" spans="1:12" ht="23.4">
      <c r="A10" s="370"/>
      <c r="B10" s="371" t="s">
        <v>966</v>
      </c>
      <c r="C10" s="371"/>
      <c r="D10" s="372">
        <v>6</v>
      </c>
      <c r="E10" s="373" t="s">
        <v>738</v>
      </c>
      <c r="F10" s="378">
        <v>5.0000000000000001E-3</v>
      </c>
      <c r="G10" s="375">
        <f>D10*F10</f>
        <v>0.03</v>
      </c>
      <c r="H10" s="379" t="s">
        <v>739</v>
      </c>
      <c r="I10" s="404">
        <f>6*0.003</f>
        <v>1.7999999999999999E-2</v>
      </c>
      <c r="J10" s="311">
        <v>1.7999999999999999E-2</v>
      </c>
    </row>
    <row r="11" spans="1:12">
      <c r="A11" s="380"/>
      <c r="B11" s="371" t="s">
        <v>967</v>
      </c>
      <c r="C11" s="371"/>
      <c r="D11" s="381"/>
      <c r="E11" s="381"/>
      <c r="F11" s="382"/>
      <c r="G11" s="383">
        <f>SUM(G8:G10)</f>
        <v>74.817228999999998</v>
      </c>
      <c r="H11" s="384" t="s">
        <v>445</v>
      </c>
      <c r="I11" s="311">
        <f>SUM(I8:I10)</f>
        <v>87.959699999999998</v>
      </c>
      <c r="J11" s="405">
        <f>SUM(J8:J10)</f>
        <v>87.957999999999998</v>
      </c>
    </row>
    <row r="12" spans="1:12">
      <c r="A12" s="370"/>
      <c r="B12" s="385" t="s">
        <v>741</v>
      </c>
      <c r="C12" s="386"/>
      <c r="D12" s="387">
        <v>1</v>
      </c>
      <c r="E12" s="388" t="s">
        <v>83</v>
      </c>
      <c r="F12" s="389" t="s">
        <v>742</v>
      </c>
      <c r="G12" s="390">
        <f>G11</f>
        <v>74.817228999999998</v>
      </c>
      <c r="H12" s="391" t="s">
        <v>445</v>
      </c>
    </row>
    <row r="13" spans="1:12" ht="23.4">
      <c r="A13" s="362">
        <v>2</v>
      </c>
      <c r="B13" s="392" t="s">
        <v>968</v>
      </c>
      <c r="C13" s="364"/>
      <c r="D13" s="365"/>
      <c r="E13" s="366"/>
      <c r="F13" s="367"/>
      <c r="G13" s="393"/>
      <c r="H13" s="369"/>
      <c r="I13" s="404"/>
      <c r="J13" s="404"/>
      <c r="K13" s="406"/>
      <c r="L13" s="404"/>
    </row>
    <row r="14" spans="1:12" ht="23.4">
      <c r="A14" s="370"/>
      <c r="B14" s="371" t="s">
        <v>969</v>
      </c>
      <c r="C14" s="371"/>
      <c r="D14" s="372">
        <v>1.1000000000000001</v>
      </c>
      <c r="E14" s="388" t="s">
        <v>83</v>
      </c>
      <c r="F14" s="374">
        <v>140.19</v>
      </c>
      <c r="G14" s="375">
        <f t="shared" ref="G14:G17" si="0">D14*F14</f>
        <v>154.209</v>
      </c>
      <c r="H14" s="376" t="s">
        <v>964</v>
      </c>
      <c r="I14" s="407">
        <f>1.1*149.54</f>
        <v>164.494</v>
      </c>
      <c r="J14" s="404">
        <v>164.49</v>
      </c>
      <c r="K14" s="408" t="s">
        <v>970</v>
      </c>
      <c r="L14" s="404"/>
    </row>
    <row r="15" spans="1:12" ht="24.6">
      <c r="A15" s="370"/>
      <c r="B15" s="371" t="s">
        <v>971</v>
      </c>
      <c r="C15" s="371"/>
      <c r="D15" s="372">
        <v>5.25</v>
      </c>
      <c r="E15" s="373" t="s">
        <v>81</v>
      </c>
      <c r="F15" s="374">
        <f>J15</f>
        <v>5.95</v>
      </c>
      <c r="G15" s="375">
        <f t="shared" si="0"/>
        <v>31.237500000000001</v>
      </c>
      <c r="H15" s="544" t="s">
        <v>754</v>
      </c>
      <c r="I15" s="545">
        <v>119</v>
      </c>
      <c r="J15" s="406">
        <f>I15/20</f>
        <v>5.95</v>
      </c>
      <c r="K15" s="409"/>
      <c r="L15" s="404"/>
    </row>
    <row r="16" spans="1:12" ht="23.4">
      <c r="A16" s="370"/>
      <c r="B16" s="371" t="s">
        <v>972</v>
      </c>
      <c r="C16" s="371"/>
      <c r="D16" s="372">
        <v>0.15</v>
      </c>
      <c r="E16" s="373" t="s">
        <v>81</v>
      </c>
      <c r="F16" s="374">
        <f>'[77]2.วัสดุมวลรวมก่ออิฐฉาบปูน'!F17</f>
        <v>22</v>
      </c>
      <c r="G16" s="375">
        <f t="shared" si="0"/>
        <v>3.3</v>
      </c>
      <c r="H16" s="544" t="s">
        <v>754</v>
      </c>
      <c r="I16" s="406">
        <f>0.15*22</f>
        <v>3.3</v>
      </c>
      <c r="J16" s="404">
        <v>3.3</v>
      </c>
      <c r="K16" s="409"/>
      <c r="L16" s="404"/>
    </row>
    <row r="17" spans="1:12" ht="23.4">
      <c r="A17" s="370"/>
      <c r="B17" s="371" t="s">
        <v>973</v>
      </c>
      <c r="C17" s="371"/>
      <c r="D17" s="372">
        <v>2</v>
      </c>
      <c r="E17" s="373" t="s">
        <v>738</v>
      </c>
      <c r="F17" s="378">
        <v>5.0000000000000001E-3</v>
      </c>
      <c r="G17" s="375">
        <f t="shared" si="0"/>
        <v>0.01</v>
      </c>
      <c r="H17" s="379" t="s">
        <v>739</v>
      </c>
      <c r="I17" s="410">
        <f>2*0.003</f>
        <v>6.0000000000000001E-3</v>
      </c>
      <c r="J17" s="404">
        <v>6.0000000000000001E-3</v>
      </c>
      <c r="K17" s="406"/>
      <c r="L17" s="404"/>
    </row>
    <row r="18" spans="1:12" ht="23.4">
      <c r="A18" s="380"/>
      <c r="B18" s="397" t="s">
        <v>974</v>
      </c>
      <c r="C18" s="371"/>
      <c r="D18" s="381"/>
      <c r="E18" s="381"/>
      <c r="F18" s="382"/>
      <c r="G18" s="383">
        <f>SUM(G14:G17)</f>
        <v>188.75649999999999</v>
      </c>
      <c r="H18" s="384" t="s">
        <v>445</v>
      </c>
      <c r="I18" s="406">
        <f>SUM(I14:I17)</f>
        <v>286.8</v>
      </c>
      <c r="J18" s="410">
        <f>SUM(J14:J17)</f>
        <v>173.74600000000001</v>
      </c>
      <c r="K18" s="406"/>
      <c r="L18" s="404"/>
    </row>
    <row r="19" spans="1:12" ht="23.4">
      <c r="A19" s="370"/>
      <c r="B19" s="386" t="s">
        <v>741</v>
      </c>
      <c r="C19" s="386"/>
      <c r="D19" s="387">
        <v>1</v>
      </c>
      <c r="E19" s="388" t="s">
        <v>83</v>
      </c>
      <c r="F19" s="389" t="s">
        <v>742</v>
      </c>
      <c r="G19" s="390">
        <f>G18</f>
        <v>188.75649999999999</v>
      </c>
      <c r="H19" s="391" t="s">
        <v>445</v>
      </c>
      <c r="I19" s="404"/>
      <c r="J19" s="404"/>
      <c r="K19" s="406"/>
      <c r="L19" s="404"/>
    </row>
    <row r="20" spans="1:12">
      <c r="A20" s="399"/>
      <c r="B20" s="2109" t="s">
        <v>975</v>
      </c>
      <c r="C20" s="2110"/>
      <c r="D20" s="2110"/>
      <c r="E20" s="2110"/>
      <c r="F20" s="2111"/>
      <c r="G20" s="517">
        <f>G12+G19</f>
        <v>263.57372900000001</v>
      </c>
      <c r="H20" s="403" t="s">
        <v>445</v>
      </c>
    </row>
  </sheetData>
  <mergeCells count="9">
    <mergeCell ref="A1:H1"/>
    <mergeCell ref="A2:H2"/>
    <mergeCell ref="A3:H3"/>
    <mergeCell ref="B20:F20"/>
    <mergeCell ref="A4:A5"/>
    <mergeCell ref="D4:D5"/>
    <mergeCell ref="E4:E5"/>
    <mergeCell ref="H4:H5"/>
    <mergeCell ref="B4:C5"/>
  </mergeCells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002060"/>
  </sheetPr>
  <dimension ref="A1:N40"/>
  <sheetViews>
    <sheetView topLeftCell="A2" zoomScale="130" zoomScaleNormal="130" workbookViewId="0">
      <selection activeCell="A2" sqref="A2:XFD40"/>
    </sheetView>
  </sheetViews>
  <sheetFormatPr defaultColWidth="8" defaultRowHeight="21"/>
  <cols>
    <col min="1" max="1" width="5.21875" style="311" customWidth="1"/>
    <col min="2" max="2" width="8" style="311"/>
    <col min="3" max="3" width="28.33203125" style="311" customWidth="1"/>
    <col min="4" max="4" width="6.21875" style="311" customWidth="1"/>
    <col min="5" max="5" width="7" style="311" customWidth="1"/>
    <col min="6" max="6" width="8" style="311"/>
    <col min="7" max="7" width="7.21875" style="311" customWidth="1"/>
    <col min="8" max="8" width="11.88671875" style="311" customWidth="1"/>
    <col min="9" max="9" width="12.6640625" style="311"/>
    <col min="10" max="10" width="4.88671875" style="311" customWidth="1"/>
    <col min="11" max="11" width="5.33203125" style="311" customWidth="1"/>
    <col min="12" max="12" width="6.6640625" style="311" customWidth="1"/>
    <col min="13" max="13" width="5.88671875" style="311" customWidth="1"/>
    <col min="14" max="16384" width="8" style="311"/>
  </cols>
  <sheetData>
    <row r="1" spans="1:9" ht="22.2">
      <c r="A1" s="2071"/>
      <c r="B1" s="2071"/>
      <c r="C1" s="2071"/>
      <c r="D1" s="2071"/>
      <c r="E1" s="2071"/>
      <c r="F1" s="2071"/>
      <c r="G1" s="2071"/>
      <c r="H1" s="2071"/>
    </row>
    <row r="2" spans="1:9" ht="34.200000000000003">
      <c r="A2" s="2093" t="s">
        <v>725</v>
      </c>
      <c r="B2" s="2093"/>
      <c r="C2" s="2093"/>
      <c r="D2" s="2093"/>
      <c r="E2" s="2093"/>
      <c r="F2" s="2093"/>
      <c r="G2" s="2093"/>
      <c r="H2" s="2093"/>
    </row>
    <row r="3" spans="1:9" ht="22.2">
      <c r="A3" s="2094" t="s">
        <v>726</v>
      </c>
      <c r="B3" s="2095"/>
      <c r="C3" s="2095"/>
      <c r="D3" s="2095"/>
      <c r="E3" s="2095"/>
      <c r="F3" s="2095"/>
      <c r="G3" s="2095"/>
      <c r="H3" s="2096"/>
    </row>
    <row r="4" spans="1:9">
      <c r="A4" s="2099" t="s">
        <v>95</v>
      </c>
      <c r="B4" s="2105" t="s">
        <v>96</v>
      </c>
      <c r="C4" s="2115"/>
      <c r="D4" s="2101" t="s">
        <v>179</v>
      </c>
      <c r="E4" s="2101" t="s">
        <v>11</v>
      </c>
      <c r="F4" s="518" t="s">
        <v>180</v>
      </c>
      <c r="G4" s="353" t="s">
        <v>727</v>
      </c>
      <c r="H4" s="2103" t="s">
        <v>100</v>
      </c>
    </row>
    <row r="5" spans="1:9">
      <c r="A5" s="2118"/>
      <c r="B5" s="2119"/>
      <c r="C5" s="2120"/>
      <c r="D5" s="2102"/>
      <c r="E5" s="2102"/>
      <c r="F5" s="519" t="s">
        <v>31</v>
      </c>
      <c r="G5" s="520" t="s">
        <v>31</v>
      </c>
      <c r="H5" s="2104"/>
    </row>
    <row r="6" spans="1:9" ht="22.2">
      <c r="A6" s="521"/>
      <c r="B6" s="522" t="s">
        <v>728</v>
      </c>
      <c r="C6" s="523"/>
      <c r="D6" s="524"/>
      <c r="E6" s="524"/>
      <c r="F6" s="525"/>
      <c r="G6" s="526" t="s">
        <v>460</v>
      </c>
      <c r="H6" s="527"/>
    </row>
    <row r="7" spans="1:9">
      <c r="A7" s="362">
        <v>12.3</v>
      </c>
      <c r="B7" s="363" t="s">
        <v>758</v>
      </c>
      <c r="C7" s="364"/>
      <c r="D7" s="365"/>
      <c r="E7" s="366"/>
      <c r="F7" s="367"/>
      <c r="G7" s="368" t="s">
        <v>460</v>
      </c>
      <c r="H7" s="369" t="s">
        <v>460</v>
      </c>
    </row>
    <row r="8" spans="1:9" ht="23.4">
      <c r="A8" s="370"/>
      <c r="B8" s="371" t="s">
        <v>759</v>
      </c>
      <c r="C8" s="371"/>
      <c r="D8" s="372">
        <v>0.1</v>
      </c>
      <c r="E8" s="373" t="s">
        <v>81</v>
      </c>
      <c r="F8" s="528">
        <v>379</v>
      </c>
      <c r="G8" s="375">
        <f>D8*F8</f>
        <v>37.9</v>
      </c>
      <c r="H8" s="529" t="s">
        <v>754</v>
      </c>
      <c r="I8" s="404">
        <f>0.1*275/5.21</f>
        <v>5.2783109404990398</v>
      </c>
    </row>
    <row r="9" spans="1:9" ht="23.4">
      <c r="A9" s="370"/>
      <c r="B9" s="371" t="s">
        <v>760</v>
      </c>
      <c r="C9" s="371"/>
      <c r="D9" s="372">
        <v>0.04</v>
      </c>
      <c r="E9" s="373" t="s">
        <v>761</v>
      </c>
      <c r="F9" s="528">
        <v>420.56</v>
      </c>
      <c r="G9" s="375">
        <f t="shared" ref="G9:G11" si="0">D9*F9</f>
        <v>16.822399999999998</v>
      </c>
      <c r="H9" s="529" t="s">
        <v>734</v>
      </c>
      <c r="I9" s="404"/>
    </row>
    <row r="10" spans="1:9" ht="23.4">
      <c r="A10" s="370"/>
      <c r="B10" s="371" t="s">
        <v>762</v>
      </c>
      <c r="C10" s="371"/>
      <c r="D10" s="372">
        <v>7.0000000000000007E-2</v>
      </c>
      <c r="E10" s="373" t="s">
        <v>761</v>
      </c>
      <c r="F10" s="528">
        <v>327.12</v>
      </c>
      <c r="G10" s="375">
        <f t="shared" si="0"/>
        <v>22.898399999999999</v>
      </c>
      <c r="H10" s="529" t="s">
        <v>734</v>
      </c>
      <c r="I10" s="406" t="s">
        <v>763</v>
      </c>
    </row>
    <row r="11" spans="1:9" ht="23.4">
      <c r="A11" s="370"/>
      <c r="B11" s="371" t="s">
        <v>764</v>
      </c>
      <c r="C11" s="371"/>
      <c r="D11" s="372">
        <v>1</v>
      </c>
      <c r="E11" s="373" t="s">
        <v>738</v>
      </c>
      <c r="F11" s="530">
        <v>5.0000000000000001E-3</v>
      </c>
      <c r="G11" s="531">
        <f t="shared" si="0"/>
        <v>5.0000000000000001E-3</v>
      </c>
      <c r="H11" s="396" t="s">
        <v>739</v>
      </c>
      <c r="I11" s="404"/>
    </row>
    <row r="12" spans="1:9">
      <c r="A12" s="380"/>
      <c r="B12" s="371" t="s">
        <v>765</v>
      </c>
      <c r="C12" s="371"/>
      <c r="D12" s="381"/>
      <c r="E12" s="381"/>
      <c r="F12" s="382"/>
      <c r="G12" s="383">
        <f>SUM(G8:G11)</f>
        <v>77.625799999999998</v>
      </c>
      <c r="H12" s="384" t="s">
        <v>445</v>
      </c>
    </row>
    <row r="13" spans="1:9">
      <c r="A13" s="370"/>
      <c r="B13" s="386" t="s">
        <v>741</v>
      </c>
      <c r="C13" s="386"/>
      <c r="D13" s="387">
        <v>1</v>
      </c>
      <c r="E13" s="388" t="s">
        <v>83</v>
      </c>
      <c r="F13" s="389" t="s">
        <v>742</v>
      </c>
      <c r="G13" s="390">
        <f>G12</f>
        <v>77.625799999999998</v>
      </c>
      <c r="H13" s="391" t="s">
        <v>445</v>
      </c>
    </row>
    <row r="14" spans="1:9">
      <c r="A14" s="362">
        <v>1</v>
      </c>
      <c r="B14" s="532" t="s">
        <v>766</v>
      </c>
      <c r="C14" s="364"/>
      <c r="D14" s="365"/>
      <c r="E14" s="366"/>
      <c r="F14" s="367"/>
      <c r="G14" s="368" t="s">
        <v>460</v>
      </c>
      <c r="H14" s="369" t="s">
        <v>460</v>
      </c>
    </row>
    <row r="15" spans="1:9" ht="23.4">
      <c r="A15" s="370"/>
      <c r="B15" s="371" t="s">
        <v>767</v>
      </c>
      <c r="C15" s="371"/>
      <c r="D15" s="372">
        <v>0.04</v>
      </c>
      <c r="E15" s="373" t="s">
        <v>761</v>
      </c>
      <c r="F15" s="528">
        <v>420.56</v>
      </c>
      <c r="G15" s="375">
        <f t="shared" ref="G15:G17" si="1">D15*F15</f>
        <v>16.822399999999998</v>
      </c>
      <c r="H15" s="529" t="s">
        <v>734</v>
      </c>
      <c r="I15" s="404"/>
    </row>
    <row r="16" spans="1:9" ht="23.4">
      <c r="A16" s="370"/>
      <c r="B16" s="371" t="s">
        <v>768</v>
      </c>
      <c r="C16" s="371"/>
      <c r="D16" s="372">
        <v>7.0000000000000007E-2</v>
      </c>
      <c r="E16" s="373" t="s">
        <v>761</v>
      </c>
      <c r="F16" s="528">
        <v>420.56</v>
      </c>
      <c r="G16" s="375">
        <f t="shared" si="1"/>
        <v>29.4392</v>
      </c>
      <c r="H16" s="529" t="s">
        <v>734</v>
      </c>
      <c r="I16" s="404"/>
    </row>
    <row r="17" spans="1:14" ht="23.4">
      <c r="A17" s="370"/>
      <c r="B17" s="371" t="s">
        <v>769</v>
      </c>
      <c r="C17" s="371"/>
      <c r="D17" s="372">
        <v>1</v>
      </c>
      <c r="E17" s="373" t="s">
        <v>738</v>
      </c>
      <c r="F17" s="530">
        <v>5.0000000000000001E-3</v>
      </c>
      <c r="G17" s="531">
        <f t="shared" si="1"/>
        <v>5.0000000000000001E-3</v>
      </c>
      <c r="H17" s="396" t="s">
        <v>739</v>
      </c>
      <c r="I17" s="404"/>
    </row>
    <row r="18" spans="1:14">
      <c r="A18" s="380"/>
      <c r="B18" s="371" t="s">
        <v>770</v>
      </c>
      <c r="C18" s="371"/>
      <c r="D18" s="381"/>
      <c r="E18" s="381"/>
      <c r="F18" s="382"/>
      <c r="G18" s="383">
        <f>SUM(G15:G17)</f>
        <v>46.266599999999997</v>
      </c>
      <c r="H18" s="384" t="s">
        <v>445</v>
      </c>
    </row>
    <row r="19" spans="1:14">
      <c r="A19" s="380"/>
      <c r="B19" s="533" t="s">
        <v>741</v>
      </c>
      <c r="C19" s="533"/>
      <c r="D19" s="387">
        <v>1</v>
      </c>
      <c r="E19" s="388" t="s">
        <v>83</v>
      </c>
      <c r="F19" s="389" t="s">
        <v>742</v>
      </c>
      <c r="G19" s="390">
        <f>G18</f>
        <v>46.266599999999997</v>
      </c>
      <c r="H19" s="391" t="s">
        <v>445</v>
      </c>
    </row>
    <row r="20" spans="1:14">
      <c r="A20" s="362">
        <v>2</v>
      </c>
      <c r="B20" s="363" t="s">
        <v>771</v>
      </c>
      <c r="C20" s="364"/>
      <c r="D20" s="365"/>
      <c r="E20" s="366"/>
      <c r="F20" s="367"/>
      <c r="G20" s="393" t="s">
        <v>460</v>
      </c>
      <c r="H20" s="369" t="s">
        <v>460</v>
      </c>
    </row>
    <row r="21" spans="1:14">
      <c r="A21" s="370"/>
      <c r="B21" s="371" t="s">
        <v>772</v>
      </c>
      <c r="C21" s="371"/>
      <c r="D21" s="534">
        <v>3.7999999999999999E-2</v>
      </c>
      <c r="E21" s="373" t="s">
        <v>761</v>
      </c>
      <c r="F21" s="528">
        <v>275</v>
      </c>
      <c r="G21" s="375">
        <f t="shared" ref="G21:G23" si="2">D21*F21</f>
        <v>10.45</v>
      </c>
      <c r="H21" s="529" t="s">
        <v>754</v>
      </c>
      <c r="I21" s="540">
        <v>275</v>
      </c>
      <c r="J21" s="541" t="s">
        <v>773</v>
      </c>
      <c r="K21" s="542">
        <v>45</v>
      </c>
      <c r="L21" s="541" t="s">
        <v>774</v>
      </c>
      <c r="M21" s="311">
        <v>3.7850000000000001</v>
      </c>
      <c r="N21" s="311" t="s">
        <v>775</v>
      </c>
    </row>
    <row r="22" spans="1:14" ht="23.4">
      <c r="A22" s="370"/>
      <c r="B22" s="371" t="s">
        <v>776</v>
      </c>
      <c r="C22" s="371"/>
      <c r="D22" s="534">
        <v>7.5999999999999998E-2</v>
      </c>
      <c r="E22" s="373" t="s">
        <v>761</v>
      </c>
      <c r="F22" s="528">
        <v>398</v>
      </c>
      <c r="G22" s="375">
        <f t="shared" si="2"/>
        <v>30.248000000000001</v>
      </c>
      <c r="H22" s="529" t="s">
        <v>754</v>
      </c>
      <c r="I22" s="404"/>
      <c r="K22" s="543">
        <f>I21/K21</f>
        <v>6.1111111111111098</v>
      </c>
    </row>
    <row r="23" spans="1:14" ht="23.4">
      <c r="A23" s="370"/>
      <c r="B23" s="371" t="s">
        <v>777</v>
      </c>
      <c r="C23" s="371"/>
      <c r="D23" s="534">
        <v>2.3E-2</v>
      </c>
      <c r="E23" s="373" t="s">
        <v>761</v>
      </c>
      <c r="F23" s="528">
        <v>514.02</v>
      </c>
      <c r="G23" s="375">
        <f t="shared" si="2"/>
        <v>11.82246</v>
      </c>
      <c r="H23" s="529" t="s">
        <v>734</v>
      </c>
      <c r="I23" s="404"/>
    </row>
    <row r="24" spans="1:14">
      <c r="A24" s="380"/>
      <c r="B24" s="371" t="s">
        <v>778</v>
      </c>
      <c r="C24" s="371"/>
      <c r="D24" s="381"/>
      <c r="E24" s="381"/>
      <c r="F24" s="382"/>
      <c r="G24" s="383">
        <f>SUM(G21:G23)</f>
        <v>52.52046</v>
      </c>
      <c r="H24" s="384" t="s">
        <v>445</v>
      </c>
    </row>
    <row r="25" spans="1:14">
      <c r="A25" s="370"/>
      <c r="B25" s="386" t="s">
        <v>741</v>
      </c>
      <c r="C25" s="386"/>
      <c r="D25" s="387">
        <v>1</v>
      </c>
      <c r="E25" s="388" t="s">
        <v>83</v>
      </c>
      <c r="F25" s="389" t="s">
        <v>742</v>
      </c>
      <c r="G25" s="390">
        <f>G24</f>
        <v>52.52046</v>
      </c>
      <c r="H25" s="391" t="s">
        <v>445</v>
      </c>
    </row>
    <row r="26" spans="1:14">
      <c r="A26" s="362">
        <v>12.11</v>
      </c>
      <c r="B26" s="363" t="s">
        <v>779</v>
      </c>
      <c r="C26" s="364"/>
      <c r="D26" s="365"/>
      <c r="E26" s="366"/>
      <c r="F26" s="367"/>
      <c r="G26" s="393" t="s">
        <v>460</v>
      </c>
      <c r="H26" s="369" t="s">
        <v>460</v>
      </c>
    </row>
    <row r="27" spans="1:14">
      <c r="A27" s="370"/>
      <c r="B27" s="371" t="s">
        <v>780</v>
      </c>
      <c r="C27" s="371"/>
      <c r="D27" s="534">
        <v>7.5999999999999998E-2</v>
      </c>
      <c r="E27" s="373" t="s">
        <v>761</v>
      </c>
      <c r="F27" s="528">
        <v>275</v>
      </c>
      <c r="G27" s="375">
        <f t="shared" ref="G27:G29" si="3">D27*F27</f>
        <v>20.9</v>
      </c>
      <c r="H27" s="529" t="s">
        <v>754</v>
      </c>
      <c r="I27" s="540">
        <v>275</v>
      </c>
      <c r="J27" s="541" t="s">
        <v>773</v>
      </c>
      <c r="K27" s="542">
        <v>45</v>
      </c>
      <c r="L27" s="541" t="s">
        <v>774</v>
      </c>
      <c r="M27" s="311">
        <v>3.7850000000000001</v>
      </c>
      <c r="N27" s="311" t="s">
        <v>775</v>
      </c>
    </row>
    <row r="28" spans="1:14" ht="23.4">
      <c r="A28" s="370"/>
      <c r="B28" s="371" t="s">
        <v>781</v>
      </c>
      <c r="C28" s="371"/>
      <c r="D28" s="534">
        <v>7.5999999999999998E-2</v>
      </c>
      <c r="E28" s="373" t="s">
        <v>761</v>
      </c>
      <c r="F28" s="528">
        <f>'3.สืบสี'!J9</f>
        <v>398</v>
      </c>
      <c r="G28" s="375">
        <f t="shared" si="3"/>
        <v>30.248000000000001</v>
      </c>
      <c r="H28" s="529" t="s">
        <v>754</v>
      </c>
      <c r="I28" s="404"/>
      <c r="K28" s="543">
        <f>I27/K27</f>
        <v>6.1111111111111098</v>
      </c>
    </row>
    <row r="29" spans="1:14" ht="23.4">
      <c r="A29" s="370"/>
      <c r="B29" s="371" t="s">
        <v>777</v>
      </c>
      <c r="C29" s="371"/>
      <c r="D29" s="534">
        <v>3.1E-2</v>
      </c>
      <c r="E29" s="373" t="s">
        <v>761</v>
      </c>
      <c r="F29" s="528">
        <v>514.02</v>
      </c>
      <c r="G29" s="375">
        <f t="shared" si="3"/>
        <v>15.934620000000001</v>
      </c>
      <c r="H29" s="529" t="s">
        <v>734</v>
      </c>
      <c r="I29" s="404"/>
    </row>
    <row r="30" spans="1:14">
      <c r="A30" s="380"/>
      <c r="B30" s="371" t="s">
        <v>778</v>
      </c>
      <c r="C30" s="371"/>
      <c r="D30" s="381"/>
      <c r="E30" s="381"/>
      <c r="F30" s="382"/>
      <c r="G30" s="383">
        <f>SUM(G27:G29)</f>
        <v>67.082620000000006</v>
      </c>
      <c r="H30" s="384" t="s">
        <v>445</v>
      </c>
    </row>
    <row r="31" spans="1:14">
      <c r="A31" s="370"/>
      <c r="B31" s="386" t="s">
        <v>741</v>
      </c>
      <c r="C31" s="386"/>
      <c r="D31" s="387">
        <v>1</v>
      </c>
      <c r="E31" s="388" t="s">
        <v>83</v>
      </c>
      <c r="F31" s="389" t="s">
        <v>742</v>
      </c>
      <c r="G31" s="390">
        <f>G30</f>
        <v>67.082620000000006</v>
      </c>
      <c r="H31" s="391" t="s">
        <v>445</v>
      </c>
    </row>
    <row r="32" spans="1:14">
      <c r="A32" s="362">
        <v>4</v>
      </c>
      <c r="B32" s="532" t="s">
        <v>782</v>
      </c>
      <c r="C32" s="364"/>
      <c r="D32" s="365"/>
      <c r="E32" s="366"/>
      <c r="F32" s="367"/>
      <c r="G32" s="393" t="s">
        <v>460</v>
      </c>
      <c r="H32" s="369" t="s">
        <v>460</v>
      </c>
    </row>
    <row r="33" spans="1:9" ht="23.4">
      <c r="A33" s="370"/>
      <c r="B33" s="535" t="s">
        <v>783</v>
      </c>
      <c r="C33" s="371"/>
      <c r="D33" s="372">
        <v>0.5</v>
      </c>
      <c r="E33" s="373" t="s">
        <v>75</v>
      </c>
      <c r="F33" s="530">
        <f>I33</f>
        <v>6.5416666666666696</v>
      </c>
      <c r="G33" s="375">
        <f t="shared" ref="G33:G36" si="4">D33*F33</f>
        <v>3.2708333333333299</v>
      </c>
      <c r="H33" s="529" t="s">
        <v>734</v>
      </c>
      <c r="I33" s="404">
        <f>78.5/12</f>
        <v>6.5416666666666696</v>
      </c>
    </row>
    <row r="34" spans="1:9" ht="23.4">
      <c r="A34" s="370"/>
      <c r="B34" s="371" t="s">
        <v>784</v>
      </c>
      <c r="C34" s="371"/>
      <c r="D34" s="372">
        <v>0.1</v>
      </c>
      <c r="E34" s="373" t="s">
        <v>81</v>
      </c>
      <c r="F34" s="528">
        <f>F8</f>
        <v>379</v>
      </c>
      <c r="G34" s="375">
        <f t="shared" si="4"/>
        <v>37.9</v>
      </c>
      <c r="H34" s="529" t="s">
        <v>754</v>
      </c>
      <c r="I34" s="404"/>
    </row>
    <row r="35" spans="1:9">
      <c r="A35" s="380"/>
      <c r="B35" s="371" t="s">
        <v>785</v>
      </c>
      <c r="C35" s="371"/>
      <c r="D35" s="534">
        <v>7.5999999999999998E-2</v>
      </c>
      <c r="E35" s="373" t="s">
        <v>761</v>
      </c>
      <c r="F35" s="528">
        <v>635</v>
      </c>
      <c r="G35" s="375">
        <f t="shared" si="4"/>
        <v>48.26</v>
      </c>
      <c r="H35" s="529" t="s">
        <v>754</v>
      </c>
    </row>
    <row r="36" spans="1:9" ht="23.4">
      <c r="A36" s="370"/>
      <c r="B36" s="371" t="s">
        <v>786</v>
      </c>
      <c r="C36" s="371"/>
      <c r="D36" s="534">
        <v>7.5999999999999998E-2</v>
      </c>
      <c r="E36" s="373" t="s">
        <v>761</v>
      </c>
      <c r="F36" s="528">
        <v>647</v>
      </c>
      <c r="G36" s="375">
        <f t="shared" si="4"/>
        <v>49.171999999999997</v>
      </c>
      <c r="H36" s="529" t="s">
        <v>787</v>
      </c>
      <c r="I36" s="404"/>
    </row>
    <row r="37" spans="1:9" ht="23.4">
      <c r="A37" s="370"/>
      <c r="B37" s="371" t="s">
        <v>788</v>
      </c>
      <c r="C37" s="371"/>
      <c r="D37" s="372">
        <v>0.03</v>
      </c>
      <c r="E37" s="373" t="s">
        <v>761</v>
      </c>
      <c r="F37" s="528">
        <v>129.91</v>
      </c>
      <c r="G37" s="536">
        <v>3.89</v>
      </c>
      <c r="H37" s="529" t="s">
        <v>754</v>
      </c>
      <c r="I37" s="404"/>
    </row>
    <row r="38" spans="1:9">
      <c r="A38" s="380"/>
      <c r="B38" s="371" t="s">
        <v>789</v>
      </c>
      <c r="C38" s="371"/>
      <c r="D38" s="381"/>
      <c r="E38" s="381"/>
      <c r="F38" s="382"/>
      <c r="G38" s="383">
        <f>SUM(G33:G37)</f>
        <v>142.49283333333301</v>
      </c>
      <c r="H38" s="384" t="s">
        <v>445</v>
      </c>
    </row>
    <row r="39" spans="1:9">
      <c r="A39" s="380"/>
      <c r="B39" s="533" t="s">
        <v>741</v>
      </c>
      <c r="C39" s="533"/>
      <c r="D39" s="387">
        <v>1</v>
      </c>
      <c r="E39" s="388" t="s">
        <v>83</v>
      </c>
      <c r="F39" s="389" t="s">
        <v>742</v>
      </c>
      <c r="G39" s="537">
        <f>G38</f>
        <v>142.49283333333301</v>
      </c>
      <c r="H39" s="391" t="s">
        <v>445</v>
      </c>
    </row>
    <row r="40" spans="1:9">
      <c r="A40" s="399"/>
      <c r="B40" s="2097"/>
      <c r="C40" s="2098"/>
      <c r="D40" s="400"/>
      <c r="E40" s="400"/>
      <c r="F40" s="400"/>
      <c r="G40" s="538"/>
      <c r="H40" s="539"/>
    </row>
  </sheetData>
  <mergeCells count="9">
    <mergeCell ref="A1:H1"/>
    <mergeCell ref="A2:H2"/>
    <mergeCell ref="A3:H3"/>
    <mergeCell ref="B40:C40"/>
    <mergeCell ref="A4:A5"/>
    <mergeCell ref="D4:D5"/>
    <mergeCell ref="E4:E5"/>
    <mergeCell ref="H4:H5"/>
    <mergeCell ref="B4:C5"/>
  </mergeCells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002060"/>
  </sheetPr>
  <dimension ref="A1:L20"/>
  <sheetViews>
    <sheetView topLeftCell="A9" zoomScale="130" zoomScaleNormal="130" workbookViewId="0">
      <selection activeCell="D15" sqref="D15"/>
    </sheetView>
  </sheetViews>
  <sheetFormatPr defaultColWidth="8" defaultRowHeight="21"/>
  <cols>
    <col min="1" max="2" width="8" style="311"/>
    <col min="3" max="3" width="28.109375" style="311" customWidth="1"/>
    <col min="4" max="4" width="6.21875" style="311" customWidth="1"/>
    <col min="5" max="5" width="7" style="311" customWidth="1"/>
    <col min="6" max="7" width="8" style="311"/>
    <col min="8" max="8" width="9.77734375" style="311" customWidth="1"/>
    <col min="9" max="9" width="9.109375" style="311"/>
    <col min="10" max="10" width="9.88671875" style="311" customWidth="1"/>
    <col min="11" max="16384" width="8" style="311"/>
  </cols>
  <sheetData>
    <row r="1" spans="1:12" ht="22.2">
      <c r="A1" s="2071"/>
      <c r="B1" s="2071"/>
      <c r="C1" s="2071"/>
      <c r="D1" s="2071"/>
      <c r="E1" s="2071"/>
      <c r="F1" s="2071"/>
      <c r="G1" s="2071"/>
      <c r="H1" s="2071"/>
    </row>
    <row r="2" spans="1:12" ht="34.200000000000003">
      <c r="A2" s="2093" t="s">
        <v>725</v>
      </c>
      <c r="B2" s="2093"/>
      <c r="C2" s="2093"/>
      <c r="D2" s="2093"/>
      <c r="E2" s="2093"/>
      <c r="F2" s="2093"/>
      <c r="G2" s="2093"/>
      <c r="H2" s="2093"/>
    </row>
    <row r="3" spans="1:12" ht="22.2">
      <c r="A3" s="2094" t="s">
        <v>726</v>
      </c>
      <c r="B3" s="2095"/>
      <c r="C3" s="2095"/>
      <c r="D3" s="2095"/>
      <c r="E3" s="2095"/>
      <c r="F3" s="2095"/>
      <c r="G3" s="2095"/>
      <c r="H3" s="2096"/>
    </row>
    <row r="4" spans="1:12">
      <c r="A4" s="2099" t="s">
        <v>95</v>
      </c>
      <c r="B4" s="2105" t="s">
        <v>96</v>
      </c>
      <c r="C4" s="2115"/>
      <c r="D4" s="2101" t="s">
        <v>179</v>
      </c>
      <c r="E4" s="2101" t="s">
        <v>11</v>
      </c>
      <c r="F4" s="352" t="s">
        <v>180</v>
      </c>
      <c r="G4" s="353" t="s">
        <v>727</v>
      </c>
      <c r="H4" s="2103" t="s">
        <v>100</v>
      </c>
    </row>
    <row r="5" spans="1:12">
      <c r="A5" s="2112"/>
      <c r="B5" s="2116"/>
      <c r="C5" s="2117"/>
      <c r="D5" s="2113"/>
      <c r="E5" s="2113"/>
      <c r="F5" s="354" t="s">
        <v>31</v>
      </c>
      <c r="G5" s="354" t="s">
        <v>31</v>
      </c>
      <c r="H5" s="2114"/>
    </row>
    <row r="6" spans="1:12" ht="22.2">
      <c r="A6" s="355"/>
      <c r="B6" s="356" t="s">
        <v>728</v>
      </c>
      <c r="C6" s="357"/>
      <c r="D6" s="358"/>
      <c r="E6" s="358"/>
      <c r="F6" s="359"/>
      <c r="G6" s="360" t="s">
        <v>460</v>
      </c>
      <c r="H6" s="361"/>
    </row>
    <row r="7" spans="1:12">
      <c r="A7" s="362">
        <v>1</v>
      </c>
      <c r="B7" s="363" t="s">
        <v>962</v>
      </c>
      <c r="C7" s="364"/>
      <c r="D7" s="365"/>
      <c r="E7" s="366"/>
      <c r="F7" s="367"/>
      <c r="G7" s="368" t="s">
        <v>460</v>
      </c>
      <c r="H7" s="369" t="s">
        <v>460</v>
      </c>
    </row>
    <row r="8" spans="1:12" ht="23.4">
      <c r="A8" s="370"/>
      <c r="B8" s="371" t="s">
        <v>963</v>
      </c>
      <c r="C8" s="371"/>
      <c r="D8" s="372">
        <v>20.02</v>
      </c>
      <c r="E8" s="373" t="s">
        <v>81</v>
      </c>
      <c r="F8" s="374">
        <f>'2.ข้อมูลวัสดุ'!D16/1000</f>
        <v>2.3364500000000001</v>
      </c>
      <c r="G8" s="375">
        <f t="shared" ref="G8:G10" si="0">D8*F8</f>
        <v>46.775728999999998</v>
      </c>
      <c r="H8" s="376" t="s">
        <v>964</v>
      </c>
      <c r="I8" s="404">
        <f>20.02*2.39</f>
        <v>47.847799999999999</v>
      </c>
      <c r="J8" s="311">
        <v>47.85</v>
      </c>
    </row>
    <row r="9" spans="1:12" ht="23.4">
      <c r="A9" s="370"/>
      <c r="B9" s="371" t="s">
        <v>965</v>
      </c>
      <c r="C9" s="371"/>
      <c r="D9" s="372">
        <v>0.11</v>
      </c>
      <c r="E9" s="373" t="s">
        <v>184</v>
      </c>
      <c r="F9" s="374">
        <f>'3.สืบท่อโฟมลูกรังทรายเหล็กป้าย'!G12</f>
        <v>254.65</v>
      </c>
      <c r="G9" s="375">
        <f t="shared" si="0"/>
        <v>28.011500000000002</v>
      </c>
      <c r="H9" s="377" t="s">
        <v>736</v>
      </c>
      <c r="I9" s="404">
        <f>0.11*364.49</f>
        <v>40.093899999999998</v>
      </c>
      <c r="J9" s="311">
        <v>40.090000000000003</v>
      </c>
    </row>
    <row r="10" spans="1:12" ht="23.4">
      <c r="A10" s="370"/>
      <c r="B10" s="371" t="s">
        <v>966</v>
      </c>
      <c r="C10" s="371"/>
      <c r="D10" s="372">
        <v>6</v>
      </c>
      <c r="E10" s="373" t="s">
        <v>738</v>
      </c>
      <c r="F10" s="378">
        <v>5.0000000000000001E-3</v>
      </c>
      <c r="G10" s="375">
        <f t="shared" si="0"/>
        <v>0.03</v>
      </c>
      <c r="H10" s="379" t="s">
        <v>739</v>
      </c>
      <c r="I10" s="404">
        <f>6*0.003</f>
        <v>1.7999999999999999E-2</v>
      </c>
      <c r="J10" s="311">
        <v>1.7999999999999999E-2</v>
      </c>
    </row>
    <row r="11" spans="1:12">
      <c r="A11" s="380"/>
      <c r="B11" s="371" t="s">
        <v>967</v>
      </c>
      <c r="C11" s="371"/>
      <c r="D11" s="381"/>
      <c r="E11" s="381"/>
      <c r="F11" s="382"/>
      <c r="G11" s="383">
        <f t="shared" ref="G11:J11" si="1">SUM(G8:G10)</f>
        <v>74.817228999999998</v>
      </c>
      <c r="H11" s="384" t="s">
        <v>445</v>
      </c>
      <c r="I11" s="311">
        <f t="shared" si="1"/>
        <v>87.959699999999998</v>
      </c>
      <c r="J11" s="405">
        <f t="shared" si="1"/>
        <v>87.957999999999998</v>
      </c>
    </row>
    <row r="12" spans="1:12">
      <c r="A12" s="370"/>
      <c r="B12" s="385" t="s">
        <v>741</v>
      </c>
      <c r="C12" s="386"/>
      <c r="D12" s="387">
        <v>1</v>
      </c>
      <c r="E12" s="388" t="s">
        <v>83</v>
      </c>
      <c r="F12" s="389" t="s">
        <v>742</v>
      </c>
      <c r="G12" s="390">
        <f>G11</f>
        <v>74.817228999999998</v>
      </c>
      <c r="H12" s="391" t="s">
        <v>445</v>
      </c>
    </row>
    <row r="13" spans="1:12" ht="23.4">
      <c r="A13" s="362">
        <v>2</v>
      </c>
      <c r="B13" s="392" t="s">
        <v>976</v>
      </c>
      <c r="C13" s="364"/>
      <c r="D13" s="365"/>
      <c r="E13" s="366"/>
      <c r="F13" s="367"/>
      <c r="G13" s="393"/>
      <c r="H13" s="369"/>
      <c r="I13" s="404"/>
      <c r="J13" s="404"/>
      <c r="K13" s="406"/>
      <c r="L13" s="404"/>
    </row>
    <row r="14" spans="1:12" ht="23.4">
      <c r="A14" s="370"/>
      <c r="B14" s="371" t="s">
        <v>977</v>
      </c>
      <c r="C14" s="371"/>
      <c r="D14" s="372">
        <v>1.1000000000000001</v>
      </c>
      <c r="E14" s="388" t="s">
        <v>83</v>
      </c>
      <c r="F14" s="374">
        <v>177.57</v>
      </c>
      <c r="G14" s="375">
        <f t="shared" ref="G14:G17" si="2">D14*F14</f>
        <v>195.327</v>
      </c>
      <c r="H14" s="376" t="s">
        <v>747</v>
      </c>
      <c r="I14" s="407">
        <f>1.1*149.54</f>
        <v>164.494</v>
      </c>
      <c r="J14" s="404">
        <v>164.49</v>
      </c>
      <c r="K14" s="408" t="s">
        <v>970</v>
      </c>
      <c r="L14" s="404"/>
    </row>
    <row r="15" spans="1:12" ht="23.4">
      <c r="A15" s="370"/>
      <c r="B15" s="371" t="s">
        <v>971</v>
      </c>
      <c r="C15" s="371"/>
      <c r="D15" s="372">
        <v>5.25</v>
      </c>
      <c r="E15" s="373" t="s">
        <v>81</v>
      </c>
      <c r="F15" s="374">
        <f>112/20</f>
        <v>5.6</v>
      </c>
      <c r="G15" s="375">
        <f t="shared" si="2"/>
        <v>29.4</v>
      </c>
      <c r="H15" s="394" t="s">
        <v>978</v>
      </c>
      <c r="I15" s="406">
        <f>5.25*5.6</f>
        <v>29.4</v>
      </c>
      <c r="J15" s="404">
        <v>29.4</v>
      </c>
      <c r="K15" s="409"/>
      <c r="L15" s="404"/>
    </row>
    <row r="16" spans="1:12" ht="23.4">
      <c r="A16" s="370"/>
      <c r="B16" s="371" t="s">
        <v>972</v>
      </c>
      <c r="C16" s="371"/>
      <c r="D16" s="372">
        <v>0.15</v>
      </c>
      <c r="E16" s="373" t="s">
        <v>81</v>
      </c>
      <c r="F16" s="374">
        <f>'[77]2.วัสดุมวลรวมก่ออิฐฉาบปูน'!F17</f>
        <v>22</v>
      </c>
      <c r="G16" s="375">
        <f t="shared" si="2"/>
        <v>3.3</v>
      </c>
      <c r="H16" s="395" t="s">
        <v>745</v>
      </c>
      <c r="I16" s="406">
        <f>0.15*22</f>
        <v>3.3</v>
      </c>
      <c r="J16" s="404">
        <v>3.3</v>
      </c>
      <c r="K16" s="409"/>
      <c r="L16" s="404"/>
    </row>
    <row r="17" spans="1:12" ht="23.4">
      <c r="A17" s="370"/>
      <c r="B17" s="371" t="s">
        <v>973</v>
      </c>
      <c r="C17" s="371"/>
      <c r="D17" s="372">
        <v>2</v>
      </c>
      <c r="E17" s="373" t="s">
        <v>738</v>
      </c>
      <c r="F17" s="378">
        <v>5.0000000000000001E-3</v>
      </c>
      <c r="G17" s="375">
        <f t="shared" si="2"/>
        <v>0.01</v>
      </c>
      <c r="H17" s="379" t="s">
        <v>739</v>
      </c>
      <c r="I17" s="410">
        <f>2*0.003</f>
        <v>6.0000000000000001E-3</v>
      </c>
      <c r="J17" s="404">
        <v>6.0000000000000001E-3</v>
      </c>
      <c r="K17" s="406"/>
      <c r="L17" s="404"/>
    </row>
    <row r="18" spans="1:12" ht="23.4">
      <c r="A18" s="380"/>
      <c r="B18" s="397" t="s">
        <v>974</v>
      </c>
      <c r="C18" s="371"/>
      <c r="D18" s="381"/>
      <c r="E18" s="381"/>
      <c r="F18" s="382"/>
      <c r="G18" s="383">
        <f t="shared" ref="G18:J18" si="3">SUM(G14:G17)</f>
        <v>228.03700000000001</v>
      </c>
      <c r="H18" s="384" t="s">
        <v>445</v>
      </c>
      <c r="I18" s="406">
        <f t="shared" si="3"/>
        <v>197.2</v>
      </c>
      <c r="J18" s="410">
        <f t="shared" si="3"/>
        <v>197.196</v>
      </c>
      <c r="K18" s="406"/>
      <c r="L18" s="404"/>
    </row>
    <row r="19" spans="1:12" ht="23.4">
      <c r="A19" s="370"/>
      <c r="B19" s="386" t="s">
        <v>741</v>
      </c>
      <c r="C19" s="386"/>
      <c r="D19" s="387">
        <v>1</v>
      </c>
      <c r="E19" s="388" t="s">
        <v>83</v>
      </c>
      <c r="F19" s="389" t="s">
        <v>742</v>
      </c>
      <c r="G19" s="390">
        <f>G18</f>
        <v>228.03700000000001</v>
      </c>
      <c r="H19" s="391" t="s">
        <v>445</v>
      </c>
      <c r="I19" s="404"/>
      <c r="J19" s="404"/>
      <c r="K19" s="406"/>
      <c r="L19" s="404"/>
    </row>
    <row r="20" spans="1:12">
      <c r="A20" s="399"/>
      <c r="B20" s="2097"/>
      <c r="C20" s="2098"/>
      <c r="D20" s="400"/>
      <c r="E20" s="401" t="s">
        <v>975</v>
      </c>
      <c r="F20" s="400"/>
      <c r="G20" s="517">
        <f>G12+G19</f>
        <v>302.85422899999998</v>
      </c>
      <c r="H20" s="403" t="s">
        <v>445</v>
      </c>
    </row>
  </sheetData>
  <mergeCells count="9">
    <mergeCell ref="A1:H1"/>
    <mergeCell ref="A2:H2"/>
    <mergeCell ref="A3:H3"/>
    <mergeCell ref="B20:C20"/>
    <mergeCell ref="A4:A5"/>
    <mergeCell ref="D4:D5"/>
    <mergeCell ref="E4:E5"/>
    <mergeCell ref="H4:H5"/>
    <mergeCell ref="B4:C5"/>
  </mergeCells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FF0000"/>
  </sheetPr>
  <dimension ref="B1:W29"/>
  <sheetViews>
    <sheetView workbookViewId="0">
      <selection activeCell="B20" sqref="B20"/>
    </sheetView>
  </sheetViews>
  <sheetFormatPr defaultColWidth="7.88671875" defaultRowHeight="21"/>
  <cols>
    <col min="1" max="1" width="3.21875" style="413" customWidth="1"/>
    <col min="2" max="2" width="11.77734375" style="413" customWidth="1"/>
    <col min="3" max="3" width="43.21875" style="413" customWidth="1"/>
    <col min="4" max="4" width="7.88671875" style="413"/>
    <col min="5" max="5" width="11.77734375" style="413" customWidth="1"/>
    <col min="6" max="6" width="21.33203125" style="413" customWidth="1"/>
    <col min="7" max="7" width="19.6640625" style="413" customWidth="1"/>
    <col min="8" max="8" width="16" style="413" customWidth="1"/>
    <col min="9" max="9" width="10.44140625" style="413" customWidth="1"/>
    <col min="10" max="10" width="10.88671875" style="413" customWidth="1"/>
    <col min="11" max="16384" width="7.88671875" style="413"/>
  </cols>
  <sheetData>
    <row r="1" spans="2:23" s="458" customFormat="1" ht="24.6" customHeight="1">
      <c r="B1" s="2123" t="s">
        <v>979</v>
      </c>
      <c r="C1" s="2123"/>
      <c r="D1" s="2123"/>
      <c r="E1" s="2123"/>
      <c r="F1" s="2123"/>
      <c r="G1" s="2123"/>
      <c r="H1" s="2123"/>
      <c r="I1" s="2123"/>
      <c r="J1" s="506" t="s">
        <v>87</v>
      </c>
    </row>
    <row r="2" spans="2:23" s="458" customFormat="1" ht="22.95" customHeight="1">
      <c r="B2" s="460" t="s">
        <v>88</v>
      </c>
      <c r="C2" s="460" t="str">
        <f>'[78]ปร4 รองป. (3)จริง2กย.65'!C2:G2</f>
        <v>ซ่อมแซมอาคารศูนย์พัฒนาเด็กเล็กหายโศก หมู่ที่ 10 บ้านหายโศก</v>
      </c>
    </row>
    <row r="3" spans="2:23" s="458" customFormat="1" ht="22.8">
      <c r="B3" s="460" t="s">
        <v>92</v>
      </c>
      <c r="C3" s="460" t="s">
        <v>980</v>
      </c>
      <c r="E3" s="461"/>
      <c r="F3" s="462"/>
      <c r="G3" s="462"/>
      <c r="H3" s="462"/>
    </row>
    <row r="4" spans="2:23" s="458" customFormat="1" ht="18">
      <c r="B4" s="2127" t="s">
        <v>95</v>
      </c>
      <c r="C4" s="2129" t="s">
        <v>96</v>
      </c>
      <c r="D4" s="2129" t="s">
        <v>11</v>
      </c>
      <c r="E4" s="463" t="s">
        <v>12</v>
      </c>
      <c r="F4" s="2124" t="s">
        <v>97</v>
      </c>
      <c r="G4" s="2125"/>
      <c r="H4" s="2126"/>
      <c r="I4" s="2129" t="s">
        <v>99</v>
      </c>
      <c r="J4" s="2121" t="s">
        <v>100</v>
      </c>
    </row>
    <row r="5" spans="2:23" s="458" customFormat="1" ht="18">
      <c r="B5" s="2128"/>
      <c r="C5" s="2130"/>
      <c r="D5" s="2130"/>
      <c r="E5" s="465" t="s">
        <v>31</v>
      </c>
      <c r="F5" s="464" t="s">
        <v>981</v>
      </c>
      <c r="G5" s="464" t="s">
        <v>982</v>
      </c>
      <c r="H5" s="464" t="s">
        <v>983</v>
      </c>
      <c r="I5" s="2130"/>
      <c r="J5" s="2122"/>
      <c r="W5" s="458" t="s">
        <v>30</v>
      </c>
    </row>
    <row r="6" spans="2:23" s="458" customFormat="1" ht="18">
      <c r="B6" s="466">
        <v>1</v>
      </c>
      <c r="C6" s="467" t="s">
        <v>150</v>
      </c>
      <c r="D6" s="468" t="s">
        <v>51</v>
      </c>
      <c r="E6" s="469">
        <f>H6</f>
        <v>379</v>
      </c>
      <c r="F6" s="470">
        <v>89.82</v>
      </c>
      <c r="G6" s="470">
        <v>97.22</v>
      </c>
      <c r="H6" s="471">
        <f>'วัสดุมวลรวมทาสีอาคาร '!F8</f>
        <v>379</v>
      </c>
      <c r="I6" s="507" t="s">
        <v>984</v>
      </c>
      <c r="J6" s="508"/>
    </row>
    <row r="7" spans="2:23" s="458" customFormat="1" ht="18">
      <c r="B7" s="472">
        <v>2</v>
      </c>
      <c r="C7" s="473" t="s">
        <v>985</v>
      </c>
      <c r="D7" s="474" t="s">
        <v>986</v>
      </c>
      <c r="E7" s="475">
        <f>F7</f>
        <v>211</v>
      </c>
      <c r="F7" s="476">
        <v>211</v>
      </c>
      <c r="G7" s="477">
        <v>211</v>
      </c>
      <c r="H7" s="477" t="s">
        <v>102</v>
      </c>
      <c r="I7" s="509" t="str">
        <f>I6</f>
        <v>16 กค.2567</v>
      </c>
      <c r="J7" s="510"/>
    </row>
    <row r="8" spans="2:23" s="458" customFormat="1" ht="18">
      <c r="B8" s="472">
        <v>3</v>
      </c>
      <c r="C8" s="473" t="s">
        <v>987</v>
      </c>
      <c r="D8" s="474" t="s">
        <v>986</v>
      </c>
      <c r="E8" s="475">
        <f>F8</f>
        <v>212</v>
      </c>
      <c r="F8" s="476">
        <v>212</v>
      </c>
      <c r="G8" s="477">
        <v>212</v>
      </c>
      <c r="H8" s="477" t="s">
        <v>102</v>
      </c>
      <c r="I8" s="509" t="str">
        <f>I6</f>
        <v>16 กค.2567</v>
      </c>
      <c r="J8" s="510"/>
    </row>
    <row r="9" spans="2:23" s="458" customFormat="1" ht="18">
      <c r="B9" s="478">
        <f>B8+1</f>
        <v>4</v>
      </c>
      <c r="C9" s="479" t="s">
        <v>988</v>
      </c>
      <c r="D9" s="474" t="s">
        <v>124</v>
      </c>
      <c r="E9" s="480">
        <v>42</v>
      </c>
      <c r="F9" s="481">
        <v>42</v>
      </c>
      <c r="G9" s="482">
        <v>0</v>
      </c>
      <c r="H9" s="482">
        <v>59</v>
      </c>
      <c r="I9" s="511" t="str">
        <f>I6</f>
        <v>16 กค.2567</v>
      </c>
      <c r="J9" s="512"/>
    </row>
    <row r="10" spans="2:23" s="458" customFormat="1" ht="18">
      <c r="B10" s="478">
        <f>B9+1</f>
        <v>5</v>
      </c>
      <c r="C10" s="479" t="s">
        <v>989</v>
      </c>
      <c r="D10" s="474" t="s">
        <v>124</v>
      </c>
      <c r="E10" s="480">
        <v>36.75</v>
      </c>
      <c r="F10" s="481">
        <v>36.75</v>
      </c>
      <c r="G10" s="482" t="s">
        <v>104</v>
      </c>
      <c r="H10" s="482">
        <v>42</v>
      </c>
      <c r="I10" s="511" t="str">
        <f>I6</f>
        <v>16 กค.2567</v>
      </c>
      <c r="J10" s="512"/>
    </row>
    <row r="11" spans="2:23" s="458" customFormat="1" ht="18">
      <c r="B11" s="478">
        <v>6</v>
      </c>
      <c r="C11" s="479" t="s">
        <v>990</v>
      </c>
      <c r="D11" s="474" t="s">
        <v>124</v>
      </c>
      <c r="E11" s="480">
        <f>G11</f>
        <v>20</v>
      </c>
      <c r="F11" s="483">
        <v>29</v>
      </c>
      <c r="G11" s="484">
        <v>20</v>
      </c>
      <c r="H11" s="484" t="s">
        <v>102</v>
      </c>
      <c r="I11" s="511" t="str">
        <f>I6</f>
        <v>16 กค.2567</v>
      </c>
      <c r="J11" s="513"/>
    </row>
    <row r="12" spans="2:23" s="458" customFormat="1" ht="18">
      <c r="B12" s="478">
        <v>7</v>
      </c>
      <c r="C12" s="479" t="s">
        <v>991</v>
      </c>
      <c r="D12" s="474" t="s">
        <v>415</v>
      </c>
      <c r="E12" s="480">
        <v>0.69</v>
      </c>
      <c r="F12" s="481">
        <v>0.69</v>
      </c>
      <c r="G12" s="482" t="s">
        <v>104</v>
      </c>
      <c r="H12" s="482">
        <v>0.8</v>
      </c>
      <c r="I12" s="511" t="str">
        <f>I6</f>
        <v>16 กค.2567</v>
      </c>
      <c r="J12" s="513"/>
    </row>
    <row r="13" spans="2:23" s="458" customFormat="1" ht="18">
      <c r="B13" s="478">
        <v>8</v>
      </c>
      <c r="C13" s="479" t="s">
        <v>992</v>
      </c>
      <c r="D13" s="474" t="s">
        <v>993</v>
      </c>
      <c r="E13" s="480">
        <v>6</v>
      </c>
      <c r="F13" s="481">
        <v>6</v>
      </c>
      <c r="G13" s="482" t="s">
        <v>104</v>
      </c>
      <c r="H13" s="482">
        <v>7.17</v>
      </c>
      <c r="I13" s="511" t="str">
        <f>I6</f>
        <v>16 กค.2567</v>
      </c>
      <c r="J13" s="513"/>
    </row>
    <row r="14" spans="2:23" s="458" customFormat="1" ht="18">
      <c r="B14" s="478">
        <v>9</v>
      </c>
      <c r="C14" s="485" t="s">
        <v>994</v>
      </c>
      <c r="D14" s="474" t="s">
        <v>993</v>
      </c>
      <c r="E14" s="480">
        <v>1.46</v>
      </c>
      <c r="F14" s="486">
        <v>2</v>
      </c>
      <c r="G14" s="482" t="s">
        <v>104</v>
      </c>
      <c r="H14" s="487">
        <v>1.46</v>
      </c>
      <c r="I14" s="511" t="str">
        <f>I6</f>
        <v>16 กค.2567</v>
      </c>
      <c r="J14" s="513"/>
    </row>
    <row r="15" spans="2:23" s="458" customFormat="1" ht="18">
      <c r="B15" s="478">
        <v>10</v>
      </c>
      <c r="C15" s="479" t="s">
        <v>995</v>
      </c>
      <c r="D15" s="474" t="s">
        <v>124</v>
      </c>
      <c r="E15" s="480">
        <v>17</v>
      </c>
      <c r="F15" s="483">
        <v>60</v>
      </c>
      <c r="G15" s="484">
        <v>60</v>
      </c>
      <c r="H15" s="482">
        <v>19</v>
      </c>
      <c r="I15" s="511" t="str">
        <f>I6</f>
        <v>16 กค.2567</v>
      </c>
      <c r="J15" s="513"/>
    </row>
    <row r="16" spans="2:23" s="458" customFormat="1" ht="18">
      <c r="B16" s="478">
        <v>11</v>
      </c>
      <c r="C16" s="485" t="s">
        <v>996</v>
      </c>
      <c r="D16" s="474" t="s">
        <v>51</v>
      </c>
      <c r="E16" s="480">
        <v>124</v>
      </c>
      <c r="F16" s="486">
        <v>124</v>
      </c>
      <c r="G16" s="482" t="s">
        <v>104</v>
      </c>
      <c r="H16" s="487">
        <v>270</v>
      </c>
      <c r="I16" s="511" t="str">
        <f>I6</f>
        <v>16 กค.2567</v>
      </c>
      <c r="J16" s="513"/>
    </row>
    <row r="17" spans="2:23" s="458" customFormat="1" ht="18">
      <c r="B17" s="478">
        <v>12</v>
      </c>
      <c r="C17" s="485" t="s">
        <v>997</v>
      </c>
      <c r="D17" s="474" t="s">
        <v>47</v>
      </c>
      <c r="E17" s="488">
        <v>4.78</v>
      </c>
      <c r="F17" s="489">
        <v>4.78</v>
      </c>
      <c r="G17" s="482" t="s">
        <v>104</v>
      </c>
      <c r="H17" s="487" t="s">
        <v>102</v>
      </c>
      <c r="I17" s="511" t="str">
        <f>I6</f>
        <v>16 กค.2567</v>
      </c>
      <c r="J17" s="513"/>
      <c r="W17" s="458" t="s">
        <v>30</v>
      </c>
    </row>
    <row r="18" spans="2:23" s="458" customFormat="1" ht="18">
      <c r="B18" s="478">
        <v>13</v>
      </c>
      <c r="C18" s="485" t="s">
        <v>998</v>
      </c>
      <c r="D18" s="474" t="s">
        <v>47</v>
      </c>
      <c r="E18" s="480">
        <v>0.8</v>
      </c>
      <c r="F18" s="486">
        <v>0.8</v>
      </c>
      <c r="G18" s="482" t="s">
        <v>104</v>
      </c>
      <c r="H18" s="487">
        <v>1</v>
      </c>
      <c r="I18" s="511" t="str">
        <f>I6</f>
        <v>16 กค.2567</v>
      </c>
      <c r="J18" s="513"/>
    </row>
    <row r="19" spans="2:23" s="458" customFormat="1" ht="30.6" customHeight="1">
      <c r="B19" s="490" t="s">
        <v>999</v>
      </c>
      <c r="C19" s="491"/>
      <c r="D19" s="492"/>
      <c r="E19" s="493"/>
      <c r="F19" s="493"/>
      <c r="G19" s="493"/>
      <c r="H19" s="493"/>
      <c r="I19" s="493"/>
      <c r="J19" s="493"/>
      <c r="W19" s="458" t="s">
        <v>30</v>
      </c>
    </row>
    <row r="20" spans="2:23" s="458" customFormat="1" ht="18">
      <c r="B20" s="494" t="s">
        <v>1000</v>
      </c>
      <c r="D20" s="495"/>
    </row>
    <row r="21" spans="2:23" s="458" customFormat="1" ht="18">
      <c r="B21" s="494"/>
      <c r="C21" s="496"/>
      <c r="I21" s="514"/>
      <c r="J21" s="515"/>
    </row>
    <row r="22" spans="2:23" s="458" customFormat="1" ht="18">
      <c r="B22" s="497"/>
      <c r="I22" s="497"/>
      <c r="J22" s="497"/>
      <c r="W22" s="458" t="s">
        <v>30</v>
      </c>
    </row>
    <row r="23" spans="2:23" s="458" customFormat="1" ht="18">
      <c r="B23" s="497"/>
      <c r="C23" s="498" t="s">
        <v>1001</v>
      </c>
      <c r="D23" s="499"/>
      <c r="E23" s="500"/>
      <c r="F23" s="459"/>
      <c r="H23" s="500"/>
      <c r="I23" s="459"/>
      <c r="J23" s="497"/>
    </row>
    <row r="24" spans="2:23" s="458" customFormat="1" ht="26.4" customHeight="1">
      <c r="B24" s="501"/>
      <c r="C24" s="502" t="s">
        <v>1002</v>
      </c>
      <c r="D24" s="499"/>
      <c r="E24" s="500"/>
      <c r="F24" s="459"/>
      <c r="H24" s="503"/>
      <c r="I24" s="459"/>
      <c r="J24" s="516"/>
    </row>
    <row r="25" spans="2:23" s="459" customFormat="1" ht="18">
      <c r="B25" s="497"/>
      <c r="C25" s="502" t="s">
        <v>1003</v>
      </c>
      <c r="D25" s="499"/>
      <c r="E25" s="494"/>
      <c r="H25" s="503"/>
      <c r="J25" s="497"/>
    </row>
    <row r="26" spans="2:23" s="459" customFormat="1" ht="18">
      <c r="B26" s="497"/>
      <c r="C26" s="497"/>
      <c r="I26" s="497"/>
      <c r="J26" s="497"/>
    </row>
    <row r="27" spans="2:23" s="459" customFormat="1" ht="18">
      <c r="B27" s="497"/>
      <c r="D27" s="504"/>
      <c r="E27" s="505"/>
      <c r="F27" s="497"/>
      <c r="G27" s="497"/>
      <c r="H27" s="497"/>
      <c r="I27" s="497"/>
      <c r="J27" s="497"/>
    </row>
    <row r="28" spans="2:23" s="458" customFormat="1" ht="18">
      <c r="B28" s="497"/>
      <c r="D28" s="498"/>
      <c r="E28" s="505"/>
      <c r="F28" s="497"/>
      <c r="G28" s="497"/>
      <c r="H28" s="497"/>
      <c r="I28" s="497"/>
      <c r="J28" s="497"/>
    </row>
    <row r="29" spans="2:23">
      <c r="D29" s="498"/>
    </row>
  </sheetData>
  <mergeCells count="7">
    <mergeCell ref="J4:J5"/>
    <mergeCell ref="B1:I1"/>
    <mergeCell ref="F4:H4"/>
    <mergeCell ref="B4:B5"/>
    <mergeCell ref="C4:C5"/>
    <mergeCell ref="D4:D5"/>
    <mergeCell ref="I4:I5"/>
  </mergeCells>
  <pageMargins left="0.118110236220472" right="0.55118110236220497" top="0.35433070866141703" bottom="0.196850393700787" header="0.31496062992126" footer="0.31496062992126"/>
  <pageSetup paperSize="9" scale="85" orientation="landscape" horizontalDpi="360" verticalDpi="36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002060"/>
  </sheetPr>
  <dimension ref="A1:H37"/>
  <sheetViews>
    <sheetView topLeftCell="A17" zoomScale="130" zoomScaleNormal="130" workbookViewId="0">
      <selection activeCell="K23" sqref="K23"/>
    </sheetView>
  </sheetViews>
  <sheetFormatPr defaultColWidth="7.88671875" defaultRowHeight="21"/>
  <cols>
    <col min="1" max="2" width="7.88671875" style="413"/>
    <col min="3" max="3" width="29.6640625" style="413" customWidth="1"/>
    <col min="4" max="4" width="6.21875" style="413" customWidth="1"/>
    <col min="5" max="5" width="7" style="413" customWidth="1"/>
    <col min="6" max="6" width="8" style="413"/>
    <col min="7" max="7" width="8.109375" style="413"/>
    <col min="8" max="8" width="7.33203125" style="413" customWidth="1"/>
    <col min="9" max="16384" width="7.88671875" style="413"/>
  </cols>
  <sheetData>
    <row r="1" spans="1:8" s="411" customFormat="1" ht="18">
      <c r="A1" s="2131" t="s">
        <v>725</v>
      </c>
      <c r="B1" s="2131"/>
      <c r="C1" s="2131"/>
      <c r="D1" s="2131"/>
      <c r="E1" s="2131"/>
      <c r="F1" s="2131"/>
      <c r="G1" s="2131"/>
      <c r="H1" s="2131"/>
    </row>
    <row r="2" spans="1:8" s="411" customFormat="1" ht="18">
      <c r="A2" s="2132" t="s">
        <v>726</v>
      </c>
      <c r="B2" s="2133"/>
      <c r="C2" s="2133"/>
      <c r="D2" s="2133"/>
      <c r="E2" s="2133"/>
      <c r="F2" s="2133"/>
      <c r="G2" s="2133"/>
      <c r="H2" s="2134"/>
    </row>
    <row r="3" spans="1:8" s="411" customFormat="1" ht="18">
      <c r="A3" s="2137" t="s">
        <v>95</v>
      </c>
      <c r="B3" s="2143" t="s">
        <v>96</v>
      </c>
      <c r="C3" s="2144"/>
      <c r="D3" s="2139" t="s">
        <v>179</v>
      </c>
      <c r="E3" s="2139" t="s">
        <v>11</v>
      </c>
      <c r="F3" s="414" t="s">
        <v>180</v>
      </c>
      <c r="G3" s="415" t="s">
        <v>727</v>
      </c>
      <c r="H3" s="2141" t="s">
        <v>100</v>
      </c>
    </row>
    <row r="4" spans="1:8" s="411" customFormat="1" ht="18">
      <c r="A4" s="2138"/>
      <c r="B4" s="2145"/>
      <c r="C4" s="2146"/>
      <c r="D4" s="2140"/>
      <c r="E4" s="2140"/>
      <c r="F4" s="416" t="s">
        <v>31</v>
      </c>
      <c r="G4" s="417" t="s">
        <v>31</v>
      </c>
      <c r="H4" s="2142"/>
    </row>
    <row r="5" spans="1:8" s="412" customFormat="1" ht="17.399999999999999">
      <c r="A5" s="418"/>
      <c r="B5" s="419" t="s">
        <v>728</v>
      </c>
      <c r="C5" s="420"/>
      <c r="D5" s="421"/>
      <c r="E5" s="421"/>
      <c r="F5" s="422"/>
      <c r="G5" s="423" t="s">
        <v>460</v>
      </c>
      <c r="H5" s="424"/>
    </row>
    <row r="6" spans="1:8" s="412" customFormat="1" ht="17.399999999999999">
      <c r="A6" s="418">
        <v>1</v>
      </c>
      <c r="B6" s="425" t="s">
        <v>1004</v>
      </c>
      <c r="C6" s="426"/>
      <c r="D6" s="427"/>
      <c r="E6" s="428"/>
      <c r="F6" s="429"/>
      <c r="G6" s="430"/>
      <c r="H6" s="431"/>
    </row>
    <row r="7" spans="1:8" s="412" customFormat="1" ht="17.399999999999999">
      <c r="A7" s="432"/>
      <c r="B7" s="433" t="s">
        <v>1005</v>
      </c>
      <c r="C7" s="433"/>
      <c r="D7" s="434">
        <v>0.4</v>
      </c>
      <c r="E7" s="435" t="s">
        <v>75</v>
      </c>
      <c r="F7" s="436">
        <f>บันทึกสืบฝ้าเพดาน!E7</f>
        <v>211</v>
      </c>
      <c r="G7" s="437">
        <f t="shared" ref="G7:G17" si="0">D7*F7</f>
        <v>84.4</v>
      </c>
      <c r="H7" s="438"/>
    </row>
    <row r="8" spans="1:8" s="412" customFormat="1" ht="17.399999999999999">
      <c r="A8" s="432"/>
      <c r="B8" s="433" t="s">
        <v>1006</v>
      </c>
      <c r="C8" s="433"/>
      <c r="D8" s="434">
        <v>1</v>
      </c>
      <c r="E8" s="435" t="s">
        <v>83</v>
      </c>
      <c r="F8" s="436">
        <v>0</v>
      </c>
      <c r="G8" s="437">
        <f t="shared" si="0"/>
        <v>0</v>
      </c>
      <c r="H8" s="439"/>
    </row>
    <row r="9" spans="1:8" s="412" customFormat="1" ht="17.399999999999999">
      <c r="A9" s="432"/>
      <c r="B9" s="440" t="s">
        <v>1007</v>
      </c>
      <c r="C9" s="440"/>
      <c r="D9" s="440">
        <v>0.87</v>
      </c>
      <c r="E9" s="441" t="s">
        <v>346</v>
      </c>
      <c r="F9" s="436">
        <f>บันทึกสืบฝ้าเพดาน!E9</f>
        <v>42</v>
      </c>
      <c r="G9" s="437">
        <f t="shared" si="0"/>
        <v>36.54</v>
      </c>
      <c r="H9" s="442"/>
    </row>
    <row r="10" spans="1:8" s="412" customFormat="1" ht="17.399999999999999">
      <c r="A10" s="443"/>
      <c r="B10" s="440" t="s">
        <v>1008</v>
      </c>
      <c r="C10" s="440"/>
      <c r="D10" s="440">
        <v>0.92</v>
      </c>
      <c r="E10" s="441" t="s">
        <v>346</v>
      </c>
      <c r="F10" s="436">
        <f>บันทึกสืบฝ้าเพดาน!E10</f>
        <v>36.75</v>
      </c>
      <c r="G10" s="437">
        <f t="shared" si="0"/>
        <v>33.81</v>
      </c>
      <c r="H10" s="442"/>
    </row>
    <row r="11" spans="1:8" s="412" customFormat="1" ht="17.399999999999999">
      <c r="A11" s="432"/>
      <c r="B11" s="440" t="s">
        <v>1009</v>
      </c>
      <c r="C11" s="440"/>
      <c r="D11" s="440">
        <v>0.32</v>
      </c>
      <c r="E11" s="441" t="s">
        <v>346</v>
      </c>
      <c r="F11" s="436">
        <f>บันทึกสืบฝ้าเพดาน!E11</f>
        <v>20</v>
      </c>
      <c r="G11" s="437">
        <f t="shared" si="0"/>
        <v>6.4</v>
      </c>
      <c r="H11" s="442"/>
    </row>
    <row r="12" spans="1:8" s="412" customFormat="1" ht="17.399999999999999">
      <c r="A12" s="432"/>
      <c r="B12" s="440" t="s">
        <v>1010</v>
      </c>
      <c r="C12" s="440"/>
      <c r="D12" s="440">
        <v>0.87</v>
      </c>
      <c r="E12" s="441" t="s">
        <v>254</v>
      </c>
      <c r="F12" s="436">
        <f>บันทึกสืบฝ้าเพดาน!E12</f>
        <v>0.69</v>
      </c>
      <c r="G12" s="437">
        <f t="shared" si="0"/>
        <v>0.60029999999999994</v>
      </c>
      <c r="H12" s="442"/>
    </row>
    <row r="13" spans="1:8" s="412" customFormat="1" ht="17.399999999999999">
      <c r="A13" s="432"/>
      <c r="B13" s="440" t="s">
        <v>1011</v>
      </c>
      <c r="C13" s="440"/>
      <c r="D13" s="440">
        <v>0.87</v>
      </c>
      <c r="E13" s="441" t="s">
        <v>195</v>
      </c>
      <c r="F13" s="436">
        <f>บันทึกสืบฝ้าเพดาน!E13</f>
        <v>6</v>
      </c>
      <c r="G13" s="437">
        <f t="shared" si="0"/>
        <v>5.22</v>
      </c>
      <c r="H13" s="442"/>
    </row>
    <row r="14" spans="1:8" s="412" customFormat="1" ht="17.399999999999999">
      <c r="A14" s="432"/>
      <c r="B14" s="440" t="s">
        <v>1012</v>
      </c>
      <c r="C14" s="440"/>
      <c r="D14" s="440">
        <v>0.87</v>
      </c>
      <c r="E14" s="441" t="s">
        <v>195</v>
      </c>
      <c r="F14" s="436">
        <f>บันทึกสืบฝ้าเพดาน!E14</f>
        <v>1.46</v>
      </c>
      <c r="G14" s="437">
        <f t="shared" si="0"/>
        <v>1.2702</v>
      </c>
      <c r="H14" s="442"/>
    </row>
    <row r="15" spans="1:8" s="412" customFormat="1" ht="17.399999999999999">
      <c r="A15" s="432"/>
      <c r="B15" s="440" t="s">
        <v>1013</v>
      </c>
      <c r="C15" s="440"/>
      <c r="D15" s="440">
        <v>0.87</v>
      </c>
      <c r="E15" s="441" t="s">
        <v>346</v>
      </c>
      <c r="F15" s="436">
        <f>บันทึกสืบฝ้าเพดาน!E15</f>
        <v>17</v>
      </c>
      <c r="G15" s="437">
        <f t="shared" si="0"/>
        <v>14.79</v>
      </c>
      <c r="H15" s="442"/>
    </row>
    <row r="16" spans="1:8" s="412" customFormat="1" ht="17.399999999999999">
      <c r="A16" s="444"/>
      <c r="B16" s="433" t="s">
        <v>1014</v>
      </c>
      <c r="C16" s="433"/>
      <c r="D16" s="434">
        <v>0.11</v>
      </c>
      <c r="E16" s="435" t="s">
        <v>81</v>
      </c>
      <c r="F16" s="445">
        <f>บันทึกสืบฝ้าเพดาน!E16</f>
        <v>124</v>
      </c>
      <c r="G16" s="437">
        <f t="shared" si="0"/>
        <v>13.64</v>
      </c>
      <c r="H16" s="446"/>
    </row>
    <row r="17" spans="1:8" s="412" customFormat="1" ht="17.399999999999999">
      <c r="A17" s="444"/>
      <c r="B17" s="433" t="s">
        <v>1015</v>
      </c>
      <c r="C17" s="433"/>
      <c r="D17" s="434">
        <v>1</v>
      </c>
      <c r="E17" s="435" t="s">
        <v>83</v>
      </c>
      <c r="F17" s="436">
        <f>บันทึกสืบฝ้าเพดาน!E17+บันทึกสืบฝ้าเพดาน!E18</f>
        <v>5.58</v>
      </c>
      <c r="G17" s="437">
        <f t="shared" si="0"/>
        <v>5.58</v>
      </c>
      <c r="H17" s="438"/>
    </row>
    <row r="18" spans="1:8" s="412" customFormat="1" ht="17.399999999999999">
      <c r="A18" s="444"/>
      <c r="B18" s="440" t="s">
        <v>1016</v>
      </c>
      <c r="C18" s="440"/>
      <c r="D18" s="447"/>
      <c r="E18" s="448"/>
      <c r="F18" s="436"/>
      <c r="G18" s="437">
        <f>SUM(G7:G17)</f>
        <v>202.25049999999999</v>
      </c>
      <c r="H18" s="438"/>
    </row>
    <row r="19" spans="1:8" s="412" customFormat="1" ht="17.399999999999999">
      <c r="A19" s="444"/>
      <c r="B19" s="433" t="s">
        <v>1017</v>
      </c>
      <c r="C19" s="433"/>
      <c r="D19" s="447"/>
      <c r="E19" s="448"/>
      <c r="F19" s="436"/>
      <c r="G19" s="449">
        <f>G18</f>
        <v>202.25049999999999</v>
      </c>
      <c r="H19" s="439"/>
    </row>
    <row r="20" spans="1:8" s="412" customFormat="1" ht="17.399999999999999">
      <c r="A20" s="444"/>
      <c r="B20" s="421" t="s">
        <v>1018</v>
      </c>
      <c r="C20" s="421"/>
      <c r="D20" s="447">
        <v>1</v>
      </c>
      <c r="E20" s="448" t="s">
        <v>83</v>
      </c>
      <c r="F20" s="450" t="s">
        <v>742</v>
      </c>
      <c r="G20" s="451">
        <f>G19</f>
        <v>202.25049999999999</v>
      </c>
      <c r="H20" s="452" t="s">
        <v>445</v>
      </c>
    </row>
    <row r="21" spans="1:8" s="412" customFormat="1" ht="17.399999999999999">
      <c r="A21" s="453"/>
      <c r="B21" s="2135"/>
      <c r="C21" s="2136"/>
      <c r="D21" s="454"/>
      <c r="E21" s="454"/>
      <c r="F21" s="454"/>
      <c r="G21" s="455"/>
      <c r="H21" s="456"/>
    </row>
    <row r="22" spans="1:8" s="412" customFormat="1" ht="17.399999999999999">
      <c r="A22" s="418">
        <v>2</v>
      </c>
      <c r="B22" s="425" t="s">
        <v>1019</v>
      </c>
      <c r="C22" s="426"/>
      <c r="D22" s="427"/>
      <c r="E22" s="428"/>
      <c r="F22" s="429"/>
      <c r="G22" s="430"/>
      <c r="H22" s="431"/>
    </row>
    <row r="23" spans="1:8" s="412" customFormat="1" ht="17.399999999999999">
      <c r="A23" s="432"/>
      <c r="B23" s="433" t="s">
        <v>1020</v>
      </c>
      <c r="C23" s="433"/>
      <c r="D23" s="434">
        <v>0.4</v>
      </c>
      <c r="E23" s="435" t="s">
        <v>75</v>
      </c>
      <c r="F23" s="436">
        <v>131.78</v>
      </c>
      <c r="G23" s="437">
        <f t="shared" ref="G23:G33" si="1">D23*F23</f>
        <v>52.712000000000003</v>
      </c>
      <c r="H23" s="438"/>
    </row>
    <row r="24" spans="1:8" s="412" customFormat="1" ht="17.399999999999999">
      <c r="A24" s="432"/>
      <c r="B24" s="433" t="s">
        <v>1021</v>
      </c>
      <c r="C24" s="433"/>
      <c r="D24" s="434">
        <v>1</v>
      </c>
      <c r="E24" s="435" t="s">
        <v>83</v>
      </c>
      <c r="F24" s="436">
        <v>0</v>
      </c>
      <c r="G24" s="437">
        <f t="shared" si="1"/>
        <v>0</v>
      </c>
      <c r="H24" s="439"/>
    </row>
    <row r="25" spans="1:8" s="412" customFormat="1" ht="17.399999999999999">
      <c r="A25" s="432"/>
      <c r="B25" s="440" t="s">
        <v>1007</v>
      </c>
      <c r="C25" s="440"/>
      <c r="D25" s="440">
        <v>0.87</v>
      </c>
      <c r="E25" s="441" t="s">
        <v>346</v>
      </c>
      <c r="F25" s="436">
        <v>42</v>
      </c>
      <c r="G25" s="437">
        <f t="shared" si="1"/>
        <v>36.54</v>
      </c>
      <c r="H25" s="442"/>
    </row>
    <row r="26" spans="1:8" s="412" customFormat="1" ht="17.399999999999999">
      <c r="A26" s="443"/>
      <c r="B26" s="440" t="s">
        <v>1008</v>
      </c>
      <c r="C26" s="440"/>
      <c r="D26" s="440">
        <v>0.92</v>
      </c>
      <c r="E26" s="441" t="s">
        <v>346</v>
      </c>
      <c r="F26" s="436">
        <v>36.75</v>
      </c>
      <c r="G26" s="437">
        <f t="shared" si="1"/>
        <v>33.81</v>
      </c>
      <c r="H26" s="442"/>
    </row>
    <row r="27" spans="1:8" s="412" customFormat="1" ht="17.399999999999999">
      <c r="A27" s="432"/>
      <c r="B27" s="440" t="s">
        <v>1009</v>
      </c>
      <c r="C27" s="440"/>
      <c r="D27" s="440">
        <v>0.32</v>
      </c>
      <c r="E27" s="441" t="s">
        <v>346</v>
      </c>
      <c r="F27" s="436">
        <v>17</v>
      </c>
      <c r="G27" s="437">
        <f t="shared" si="1"/>
        <v>5.44</v>
      </c>
      <c r="H27" s="442"/>
    </row>
    <row r="28" spans="1:8" s="412" customFormat="1" ht="17.399999999999999">
      <c r="A28" s="432"/>
      <c r="B28" s="440" t="s">
        <v>1010</v>
      </c>
      <c r="C28" s="440"/>
      <c r="D28" s="440">
        <v>0.87</v>
      </c>
      <c r="E28" s="441" t="s">
        <v>254</v>
      </c>
      <c r="F28" s="436">
        <v>0.69</v>
      </c>
      <c r="G28" s="437">
        <f t="shared" si="1"/>
        <v>0.60029999999999994</v>
      </c>
      <c r="H28" s="442"/>
    </row>
    <row r="29" spans="1:8" s="412" customFormat="1" ht="17.399999999999999">
      <c r="A29" s="432"/>
      <c r="B29" s="440" t="s">
        <v>1011</v>
      </c>
      <c r="C29" s="440"/>
      <c r="D29" s="440">
        <v>0.87</v>
      </c>
      <c r="E29" s="441" t="s">
        <v>195</v>
      </c>
      <c r="F29" s="436">
        <v>6</v>
      </c>
      <c r="G29" s="437">
        <f t="shared" si="1"/>
        <v>5.22</v>
      </c>
      <c r="H29" s="442"/>
    </row>
    <row r="30" spans="1:8" s="412" customFormat="1" ht="17.399999999999999">
      <c r="A30" s="432"/>
      <c r="B30" s="440" t="s">
        <v>1012</v>
      </c>
      <c r="C30" s="440"/>
      <c r="D30" s="440">
        <v>0.87</v>
      </c>
      <c r="E30" s="441" t="s">
        <v>195</v>
      </c>
      <c r="F30" s="436">
        <v>1.46</v>
      </c>
      <c r="G30" s="437">
        <f t="shared" si="1"/>
        <v>1.2702</v>
      </c>
      <c r="H30" s="442"/>
    </row>
    <row r="31" spans="1:8" s="412" customFormat="1" ht="17.399999999999999">
      <c r="A31" s="432"/>
      <c r="B31" s="440" t="s">
        <v>1013</v>
      </c>
      <c r="C31" s="440"/>
      <c r="D31" s="440">
        <v>0.87</v>
      </c>
      <c r="E31" s="441" t="s">
        <v>346</v>
      </c>
      <c r="F31" s="436">
        <v>17</v>
      </c>
      <c r="G31" s="437">
        <f t="shared" si="1"/>
        <v>14.79</v>
      </c>
      <c r="H31" s="442"/>
    </row>
    <row r="32" spans="1:8" s="412" customFormat="1" ht="17.399999999999999">
      <c r="A32" s="444"/>
      <c r="B32" s="433" t="s">
        <v>1022</v>
      </c>
      <c r="C32" s="433"/>
      <c r="D32" s="434">
        <v>0.11</v>
      </c>
      <c r="E32" s="435" t="s">
        <v>81</v>
      </c>
      <c r="F32" s="445">
        <v>124</v>
      </c>
      <c r="G32" s="437">
        <f t="shared" si="1"/>
        <v>13.64</v>
      </c>
      <c r="H32" s="446"/>
    </row>
    <row r="33" spans="1:8" s="412" customFormat="1" ht="17.399999999999999">
      <c r="A33" s="444"/>
      <c r="B33" s="433" t="s">
        <v>1023</v>
      </c>
      <c r="C33" s="433"/>
      <c r="D33" s="434">
        <v>1</v>
      </c>
      <c r="E33" s="435" t="s">
        <v>83</v>
      </c>
      <c r="F33" s="436">
        <v>5.58</v>
      </c>
      <c r="G33" s="437">
        <f t="shared" si="1"/>
        <v>5.58</v>
      </c>
      <c r="H33" s="438"/>
    </row>
    <row r="34" spans="1:8" s="412" customFormat="1" ht="17.399999999999999">
      <c r="A34" s="444"/>
      <c r="B34" s="440" t="s">
        <v>1016</v>
      </c>
      <c r="C34" s="440"/>
      <c r="D34" s="447"/>
      <c r="E34" s="448"/>
      <c r="F34" s="436"/>
      <c r="G34" s="437">
        <f>SUM(G23:G33)</f>
        <v>169.60249999999999</v>
      </c>
      <c r="H34" s="438"/>
    </row>
    <row r="35" spans="1:8" s="412" customFormat="1" ht="17.399999999999999">
      <c r="A35" s="444"/>
      <c r="B35" s="433" t="s">
        <v>1017</v>
      </c>
      <c r="C35" s="433"/>
      <c r="D35" s="447"/>
      <c r="E35" s="448"/>
      <c r="F35" s="436"/>
      <c r="G35" s="449">
        <f>G34</f>
        <v>169.60249999999999</v>
      </c>
      <c r="H35" s="439"/>
    </row>
    <row r="36" spans="1:8" s="412" customFormat="1" ht="17.399999999999999">
      <c r="A36" s="444"/>
      <c r="B36" s="421" t="s">
        <v>1018</v>
      </c>
      <c r="C36" s="421"/>
      <c r="D36" s="447">
        <v>1</v>
      </c>
      <c r="E36" s="448" t="s">
        <v>83</v>
      </c>
      <c r="F36" s="450" t="s">
        <v>742</v>
      </c>
      <c r="G36" s="457">
        <f>G35</f>
        <v>169.60249999999999</v>
      </c>
      <c r="H36" s="452" t="s">
        <v>445</v>
      </c>
    </row>
    <row r="37" spans="1:8" s="412" customFormat="1" ht="17.399999999999999">
      <c r="A37" s="453"/>
      <c r="B37" s="2135"/>
      <c r="C37" s="2136"/>
      <c r="D37" s="454"/>
      <c r="E37" s="454"/>
      <c r="F37" s="454"/>
      <c r="G37" s="455"/>
      <c r="H37" s="456"/>
    </row>
  </sheetData>
  <mergeCells count="9">
    <mergeCell ref="A1:H1"/>
    <mergeCell ref="A2:H2"/>
    <mergeCell ref="B21:C21"/>
    <mergeCell ref="B37:C37"/>
    <mergeCell ref="A3:A4"/>
    <mergeCell ref="D3:D4"/>
    <mergeCell ref="E3:E4"/>
    <mergeCell ref="H3:H4"/>
    <mergeCell ref="B3:C4"/>
  </mergeCells>
  <pageMargins left="0.70866141732283505" right="0.70866141732283505" top="0.74803149606299202" bottom="0.74803149606299202" header="0.31496062992126" footer="0.31496062992126"/>
  <pageSetup paperSize="9" orientation="portrait" verticalDpi="36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002060"/>
  </sheetPr>
  <dimension ref="A1:L26"/>
  <sheetViews>
    <sheetView topLeftCell="A9" zoomScale="130" zoomScaleNormal="130" workbookViewId="0">
      <selection activeCell="F9" sqref="F9"/>
    </sheetView>
  </sheetViews>
  <sheetFormatPr defaultColWidth="8" defaultRowHeight="21"/>
  <cols>
    <col min="1" max="2" width="8" style="311"/>
    <col min="3" max="3" width="28.109375" style="311" customWidth="1"/>
    <col min="4" max="4" width="6.21875" style="311" customWidth="1"/>
    <col min="5" max="5" width="7" style="311" customWidth="1"/>
    <col min="6" max="6" width="8.77734375" style="311"/>
    <col min="7" max="7" width="8" style="311"/>
    <col min="8" max="8" width="11.6640625" style="311" customWidth="1"/>
    <col min="9" max="9" width="9.109375" style="311"/>
    <col min="10" max="10" width="9.88671875" style="311" customWidth="1"/>
    <col min="11" max="16384" width="8" style="311"/>
  </cols>
  <sheetData>
    <row r="1" spans="1:10" ht="22.2">
      <c r="A1" s="2071"/>
      <c r="B1" s="2071"/>
      <c r="C1" s="2071"/>
      <c r="D1" s="2071"/>
      <c r="E1" s="2071"/>
      <c r="F1" s="2071"/>
      <c r="G1" s="2071"/>
      <c r="H1" s="2071"/>
    </row>
    <row r="2" spans="1:10" ht="34.200000000000003">
      <c r="A2" s="2093" t="s">
        <v>725</v>
      </c>
      <c r="B2" s="2093"/>
      <c r="C2" s="2093"/>
      <c r="D2" s="2093"/>
      <c r="E2" s="2093"/>
      <c r="F2" s="2093"/>
      <c r="G2" s="2093"/>
      <c r="H2" s="2093"/>
    </row>
    <row r="3" spans="1:10" ht="22.2">
      <c r="A3" s="2094" t="s">
        <v>726</v>
      </c>
      <c r="B3" s="2095"/>
      <c r="C3" s="2095"/>
      <c r="D3" s="2095"/>
      <c r="E3" s="2095"/>
      <c r="F3" s="2095"/>
      <c r="G3" s="2095"/>
      <c r="H3" s="2096"/>
    </row>
    <row r="4" spans="1:10">
      <c r="A4" s="2099" t="s">
        <v>95</v>
      </c>
      <c r="B4" s="2105" t="s">
        <v>96</v>
      </c>
      <c r="C4" s="2115"/>
      <c r="D4" s="2101" t="s">
        <v>179</v>
      </c>
      <c r="E4" s="2101" t="s">
        <v>11</v>
      </c>
      <c r="F4" s="352" t="s">
        <v>180</v>
      </c>
      <c r="G4" s="353" t="s">
        <v>727</v>
      </c>
      <c r="H4" s="2103" t="s">
        <v>100</v>
      </c>
    </row>
    <row r="5" spans="1:10">
      <c r="A5" s="2112"/>
      <c r="B5" s="2116"/>
      <c r="C5" s="2117"/>
      <c r="D5" s="2113"/>
      <c r="E5" s="2113"/>
      <c r="F5" s="354" t="s">
        <v>31</v>
      </c>
      <c r="G5" s="354" t="s">
        <v>31</v>
      </c>
      <c r="H5" s="2114"/>
    </row>
    <row r="6" spans="1:10" ht="22.2">
      <c r="A6" s="355"/>
      <c r="B6" s="356" t="s">
        <v>728</v>
      </c>
      <c r="C6" s="357"/>
      <c r="D6" s="358"/>
      <c r="E6" s="358"/>
      <c r="F6" s="359"/>
      <c r="G6" s="360" t="s">
        <v>460</v>
      </c>
      <c r="H6" s="361"/>
    </row>
    <row r="7" spans="1:10">
      <c r="A7" s="362">
        <v>1</v>
      </c>
      <c r="B7" s="363" t="s">
        <v>1024</v>
      </c>
      <c r="C7" s="364"/>
      <c r="D7" s="365"/>
      <c r="E7" s="366"/>
      <c r="F7" s="367"/>
      <c r="G7" s="368" t="s">
        <v>460</v>
      </c>
      <c r="H7" s="369" t="s">
        <v>460</v>
      </c>
    </row>
    <row r="8" spans="1:10" ht="23.4">
      <c r="A8" s="370"/>
      <c r="B8" s="371" t="s">
        <v>963</v>
      </c>
      <c r="C8" s="371"/>
      <c r="D8" s="372">
        <v>3.36</v>
      </c>
      <c r="E8" s="373" t="s">
        <v>81</v>
      </c>
      <c r="F8" s="374">
        <f>'2.ข้อมูลวัสดุ'!D16/1000</f>
        <v>2.3364500000000001</v>
      </c>
      <c r="G8" s="375">
        <f t="shared" ref="G8:G16" si="0">D8*F8</f>
        <v>7.8504719999999999</v>
      </c>
      <c r="H8" s="376" t="s">
        <v>964</v>
      </c>
      <c r="I8" s="404">
        <f>20.02*2.39</f>
        <v>47.847799999999999</v>
      </c>
      <c r="J8" s="311">
        <v>47.85</v>
      </c>
    </row>
    <row r="9" spans="1:10" ht="23.4">
      <c r="A9" s="370"/>
      <c r="B9" s="371" t="s">
        <v>965</v>
      </c>
      <c r="C9" s="371"/>
      <c r="D9" s="372">
        <v>0.01</v>
      </c>
      <c r="E9" s="373" t="s">
        <v>184</v>
      </c>
      <c r="F9" s="374">
        <f>'3.สืบท่อโฟมลูกรังทรายเหล็กป้าย'!G12</f>
        <v>254.65</v>
      </c>
      <c r="G9" s="375">
        <f t="shared" si="0"/>
        <v>2.5465</v>
      </c>
      <c r="H9" s="377" t="s">
        <v>736</v>
      </c>
      <c r="I9" s="404">
        <f>0.11*364.49</f>
        <v>40.093899999999998</v>
      </c>
      <c r="J9" s="311">
        <v>40.090000000000003</v>
      </c>
    </row>
    <row r="10" spans="1:10" ht="23.4">
      <c r="A10" s="370"/>
      <c r="B10" s="371" t="s">
        <v>1025</v>
      </c>
      <c r="C10" s="371"/>
      <c r="D10" s="372">
        <v>0.02</v>
      </c>
      <c r="E10" s="373" t="s">
        <v>184</v>
      </c>
      <c r="F10" s="374">
        <f>'2.ข้อมูลวัสดุ'!D17</f>
        <v>258</v>
      </c>
      <c r="G10" s="375">
        <f t="shared" si="0"/>
        <v>5.16</v>
      </c>
      <c r="H10" s="376" t="s">
        <v>1026</v>
      </c>
      <c r="I10" s="404"/>
    </row>
    <row r="11" spans="1:10" ht="23.4">
      <c r="A11" s="370"/>
      <c r="B11" s="371" t="s">
        <v>1027</v>
      </c>
      <c r="C11" s="371"/>
      <c r="D11" s="372">
        <v>1.8</v>
      </c>
      <c r="E11" s="373" t="s">
        <v>738</v>
      </c>
      <c r="F11" s="378">
        <v>5.0000000000000001E-3</v>
      </c>
      <c r="G11" s="375">
        <f t="shared" si="0"/>
        <v>8.9999999999999993E-3</v>
      </c>
      <c r="H11" s="379" t="s">
        <v>739</v>
      </c>
      <c r="I11" s="404">
        <f>6*0.003</f>
        <v>1.7999999999999999E-2</v>
      </c>
      <c r="J11" s="311">
        <v>1.7999999999999999E-2</v>
      </c>
    </row>
    <row r="12" spans="1:10" ht="23.4">
      <c r="A12" s="370"/>
      <c r="B12" s="371" t="s">
        <v>1028</v>
      </c>
      <c r="C12" s="371"/>
      <c r="D12" s="372">
        <v>0.41</v>
      </c>
      <c r="E12" s="373" t="s">
        <v>81</v>
      </c>
      <c r="F12" s="374">
        <f>'2.ข้อมูลวัสดุ'!D7/1000</f>
        <v>23.14977</v>
      </c>
      <c r="G12" s="375">
        <f t="shared" si="0"/>
        <v>9.4914056999999996</v>
      </c>
      <c r="H12" s="376" t="s">
        <v>732</v>
      </c>
      <c r="I12" s="404"/>
    </row>
    <row r="13" spans="1:10" ht="23.4">
      <c r="A13" s="370"/>
      <c r="B13" s="371" t="s">
        <v>1029</v>
      </c>
      <c r="C13" s="371"/>
      <c r="D13" s="372">
        <v>1.07</v>
      </c>
      <c r="E13" s="373" t="s">
        <v>81</v>
      </c>
      <c r="F13" s="374">
        <f>'2.ข้อมูลวัสดุ'!D8/1000</f>
        <v>22.287479999999999</v>
      </c>
      <c r="G13" s="375">
        <f t="shared" si="0"/>
        <v>23.847603599999999</v>
      </c>
      <c r="H13" s="376" t="s">
        <v>732</v>
      </c>
      <c r="I13" s="404"/>
    </row>
    <row r="14" spans="1:10" ht="23.4">
      <c r="A14" s="364"/>
      <c r="B14" s="371" t="s">
        <v>1030</v>
      </c>
      <c r="C14" s="371"/>
      <c r="D14" s="372">
        <v>0.04</v>
      </c>
      <c r="E14" s="373" t="s">
        <v>81</v>
      </c>
      <c r="F14" s="374">
        <f>'2.ข้อมูลวัสดุ'!D15</f>
        <v>51.4</v>
      </c>
      <c r="G14" s="375">
        <f t="shared" si="0"/>
        <v>2.056</v>
      </c>
      <c r="H14" s="376" t="s">
        <v>964</v>
      </c>
      <c r="I14" s="404"/>
    </row>
    <row r="15" spans="1:10">
      <c r="B15" s="371" t="s">
        <v>1031</v>
      </c>
      <c r="C15" s="371"/>
      <c r="D15" s="372">
        <v>0.1</v>
      </c>
      <c r="E15" s="373" t="s">
        <v>73</v>
      </c>
      <c r="F15" s="374">
        <v>276</v>
      </c>
      <c r="G15" s="375">
        <f t="shared" si="0"/>
        <v>27.6</v>
      </c>
      <c r="H15" s="376"/>
    </row>
    <row r="16" spans="1:10">
      <c r="B16" s="371" t="s">
        <v>1032</v>
      </c>
      <c r="C16" s="371"/>
      <c r="D16" s="372">
        <v>0.05</v>
      </c>
      <c r="E16" s="373" t="s">
        <v>81</v>
      </c>
      <c r="F16" s="374">
        <f>'2.ข้อมูลวัสดุ'!D35</f>
        <v>51.41</v>
      </c>
      <c r="G16" s="375">
        <f t="shared" si="0"/>
        <v>2.5705</v>
      </c>
      <c r="H16" s="376" t="s">
        <v>732</v>
      </c>
    </row>
    <row r="17" spans="1:12">
      <c r="A17" s="380"/>
      <c r="B17" s="371" t="s">
        <v>1033</v>
      </c>
      <c r="C17" s="371"/>
      <c r="D17" s="381"/>
      <c r="E17" s="381"/>
      <c r="F17" s="382"/>
      <c r="G17" s="383">
        <f>SUM(G8:G16)</f>
        <v>81.131481300000004</v>
      </c>
      <c r="H17" s="384" t="s">
        <v>445</v>
      </c>
      <c r="I17" s="311">
        <f>SUM(I8:I13)</f>
        <v>87.959699999999998</v>
      </c>
      <c r="J17" s="405">
        <f>SUM(J8:J13)</f>
        <v>87.957999999999998</v>
      </c>
    </row>
    <row r="18" spans="1:12">
      <c r="A18" s="370"/>
      <c r="B18" s="385" t="s">
        <v>741</v>
      </c>
      <c r="C18" s="386"/>
      <c r="D18" s="387">
        <v>1</v>
      </c>
      <c r="E18" s="388" t="s">
        <v>237</v>
      </c>
      <c r="F18" s="389" t="s">
        <v>742</v>
      </c>
      <c r="G18" s="390">
        <f>G17</f>
        <v>81.131481300000004</v>
      </c>
      <c r="H18" s="391" t="s">
        <v>445</v>
      </c>
    </row>
    <row r="19" spans="1:12" ht="23.4">
      <c r="A19" s="362">
        <v>2</v>
      </c>
      <c r="B19" s="392" t="s">
        <v>976</v>
      </c>
      <c r="C19" s="364"/>
      <c r="D19" s="365"/>
      <c r="E19" s="366"/>
      <c r="F19" s="367"/>
      <c r="G19" s="393"/>
      <c r="H19" s="369"/>
      <c r="I19" s="404"/>
      <c r="J19" s="404"/>
      <c r="K19" s="406"/>
      <c r="L19" s="404"/>
    </row>
    <row r="20" spans="1:12" ht="23.4">
      <c r="A20" s="370"/>
      <c r="B20" s="371" t="s">
        <v>977</v>
      </c>
      <c r="C20" s="371"/>
      <c r="D20" s="372">
        <v>1.1000000000000001</v>
      </c>
      <c r="E20" s="388" t="s">
        <v>83</v>
      </c>
      <c r="F20" s="374">
        <v>177.57</v>
      </c>
      <c r="G20" s="375">
        <f t="shared" ref="G20:G23" si="1">D20*F20</f>
        <v>195.327</v>
      </c>
      <c r="H20" s="376" t="s">
        <v>747</v>
      </c>
      <c r="I20" s="407">
        <f>1.1*149.54</f>
        <v>164.494</v>
      </c>
      <c r="J20" s="404">
        <v>164.49</v>
      </c>
      <c r="K20" s="408" t="s">
        <v>970</v>
      </c>
      <c r="L20" s="404"/>
    </row>
    <row r="21" spans="1:12" ht="23.4">
      <c r="A21" s="370"/>
      <c r="B21" s="371" t="s">
        <v>971</v>
      </c>
      <c r="C21" s="371"/>
      <c r="D21" s="372">
        <v>5.25</v>
      </c>
      <c r="E21" s="373" t="s">
        <v>81</v>
      </c>
      <c r="F21" s="374">
        <f>112/20</f>
        <v>5.6</v>
      </c>
      <c r="G21" s="375">
        <f t="shared" si="1"/>
        <v>29.4</v>
      </c>
      <c r="H21" s="394" t="s">
        <v>978</v>
      </c>
      <c r="I21" s="406">
        <f>5.25*5.6</f>
        <v>29.4</v>
      </c>
      <c r="J21" s="404">
        <v>29.4</v>
      </c>
      <c r="K21" s="409"/>
      <c r="L21" s="404"/>
    </row>
    <row r="22" spans="1:12" ht="23.4">
      <c r="A22" s="370"/>
      <c r="B22" s="371" t="s">
        <v>972</v>
      </c>
      <c r="C22" s="371"/>
      <c r="D22" s="372">
        <v>0.15</v>
      </c>
      <c r="E22" s="373" t="s">
        <v>81</v>
      </c>
      <c r="F22" s="374">
        <f>'[77]2.วัสดุมวลรวมก่ออิฐฉาบปูน'!F17</f>
        <v>22</v>
      </c>
      <c r="G22" s="375">
        <f t="shared" si="1"/>
        <v>3.3</v>
      </c>
      <c r="H22" s="395" t="s">
        <v>745</v>
      </c>
      <c r="I22" s="406">
        <f>0.15*22</f>
        <v>3.3</v>
      </c>
      <c r="J22" s="404">
        <v>3.3</v>
      </c>
      <c r="K22" s="409"/>
      <c r="L22" s="404"/>
    </row>
    <row r="23" spans="1:12" ht="23.4">
      <c r="A23" s="370"/>
      <c r="B23" s="371" t="s">
        <v>973</v>
      </c>
      <c r="C23" s="371"/>
      <c r="D23" s="372">
        <v>2</v>
      </c>
      <c r="E23" s="373" t="s">
        <v>738</v>
      </c>
      <c r="F23" s="378">
        <v>5.0000000000000001E-3</v>
      </c>
      <c r="G23" s="375">
        <f t="shared" si="1"/>
        <v>0.01</v>
      </c>
      <c r="H23" s="396"/>
      <c r="I23" s="410">
        <f>2*0.003</f>
        <v>6.0000000000000001E-3</v>
      </c>
      <c r="J23" s="404">
        <v>6.0000000000000001E-3</v>
      </c>
      <c r="K23" s="406"/>
      <c r="L23" s="404"/>
    </row>
    <row r="24" spans="1:12" ht="23.4">
      <c r="A24" s="380"/>
      <c r="B24" s="397" t="s">
        <v>974</v>
      </c>
      <c r="C24" s="371"/>
      <c r="D24" s="381"/>
      <c r="E24" s="381"/>
      <c r="F24" s="382"/>
      <c r="G24" s="383">
        <f t="shared" ref="G24:J24" si="2">SUM(G20:G23)</f>
        <v>228.03700000000001</v>
      </c>
      <c r="H24" s="384" t="s">
        <v>445</v>
      </c>
      <c r="I24" s="406">
        <f t="shared" si="2"/>
        <v>197.2</v>
      </c>
      <c r="J24" s="410">
        <f t="shared" si="2"/>
        <v>197.196</v>
      </c>
      <c r="K24" s="406"/>
      <c r="L24" s="404"/>
    </row>
    <row r="25" spans="1:12" ht="23.4">
      <c r="A25" s="370"/>
      <c r="B25" s="386" t="s">
        <v>741</v>
      </c>
      <c r="C25" s="386"/>
      <c r="D25" s="387">
        <v>1</v>
      </c>
      <c r="E25" s="388" t="s">
        <v>83</v>
      </c>
      <c r="F25" s="389" t="s">
        <v>742</v>
      </c>
      <c r="G25" s="398">
        <f>G24</f>
        <v>228.03700000000001</v>
      </c>
      <c r="H25" s="391" t="s">
        <v>445</v>
      </c>
      <c r="I25" s="404"/>
      <c r="J25" s="404"/>
      <c r="K25" s="406"/>
      <c r="L25" s="404"/>
    </row>
    <row r="26" spans="1:12">
      <c r="A26" s="399"/>
      <c r="B26" s="2097"/>
      <c r="C26" s="2098"/>
      <c r="D26" s="400"/>
      <c r="E26" s="401" t="s">
        <v>975</v>
      </c>
      <c r="F26" s="400"/>
      <c r="G26" s="402"/>
      <c r="H26" s="403" t="s">
        <v>445</v>
      </c>
    </row>
  </sheetData>
  <mergeCells count="9">
    <mergeCell ref="A1:H1"/>
    <mergeCell ref="A2:H2"/>
    <mergeCell ref="A3:H3"/>
    <mergeCell ref="B26:C26"/>
    <mergeCell ref="A4:A5"/>
    <mergeCell ref="D4:D5"/>
    <mergeCell ref="E4:E5"/>
    <mergeCell ref="H4:H5"/>
    <mergeCell ref="B4:C5"/>
  </mergeCells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70"/>
  <sheetViews>
    <sheetView topLeftCell="A124" zoomScale="120" zoomScaleNormal="120" workbookViewId="0">
      <selection activeCell="B53" sqref="B53"/>
    </sheetView>
  </sheetViews>
  <sheetFormatPr defaultColWidth="7.88671875" defaultRowHeight="20.399999999999999" customHeight="1"/>
  <cols>
    <col min="1" max="1" width="4.109375" style="1411" customWidth="1"/>
    <col min="2" max="3" width="7.88671875" style="1001"/>
    <col min="4" max="4" width="8.33203125" style="1001" customWidth="1"/>
    <col min="5" max="5" width="10.88671875" style="1001" customWidth="1"/>
    <col min="6" max="6" width="5.33203125" style="1001" customWidth="1"/>
    <col min="7" max="7" width="5" style="1412" customWidth="1"/>
    <col min="8" max="11" width="8.77734375" style="1412" customWidth="1"/>
    <col min="12" max="12" width="10" style="1001" customWidth="1"/>
    <col min="13" max="13" width="11.33203125" style="1001" customWidth="1"/>
    <col min="14" max="14" width="11" style="1001" customWidth="1"/>
    <col min="15" max="15" width="4.88671875" style="1001" customWidth="1"/>
    <col min="16" max="18" width="9.6640625" style="1001" customWidth="1"/>
    <col min="19" max="16384" width="7.88671875" style="1001"/>
  </cols>
  <sheetData>
    <row r="1" spans="1:14" ht="21" customHeight="1">
      <c r="A1" s="1934" t="s">
        <v>164</v>
      </c>
      <c r="B1" s="1935"/>
      <c r="C1" s="1935"/>
      <c r="D1" s="1935"/>
      <c r="E1" s="1935"/>
      <c r="F1" s="1935"/>
      <c r="G1" s="1935"/>
      <c r="H1" s="1935"/>
      <c r="I1" s="1935"/>
      <c r="J1" s="1935"/>
      <c r="K1" s="1935"/>
      <c r="L1" s="596"/>
      <c r="M1" s="1162"/>
      <c r="N1" s="1162"/>
    </row>
    <row r="2" spans="1:14" ht="21" customHeight="1">
      <c r="A2" s="595"/>
      <c r="B2" s="592" t="s">
        <v>165</v>
      </c>
      <c r="C2" s="592"/>
      <c r="D2" s="336" t="s">
        <v>166</v>
      </c>
      <c r="E2" s="336"/>
      <c r="F2" s="592"/>
      <c r="G2" s="1196"/>
      <c r="H2" s="1196"/>
      <c r="I2" s="1196"/>
      <c r="J2" s="1196"/>
      <c r="K2" s="1196"/>
      <c r="L2" s="592"/>
      <c r="M2" s="1441"/>
      <c r="N2" s="1441"/>
    </row>
    <row r="3" spans="1:14" ht="21" customHeight="1">
      <c r="A3" s="595"/>
      <c r="B3" s="592"/>
      <c r="C3" s="592"/>
      <c r="D3" s="336" t="s">
        <v>167</v>
      </c>
      <c r="E3" s="336"/>
      <c r="F3" s="592"/>
      <c r="G3" s="1196"/>
      <c r="H3" s="1196"/>
      <c r="I3" s="1196"/>
      <c r="J3" s="1196"/>
      <c r="K3" s="1196"/>
      <c r="L3" s="592"/>
      <c r="M3" s="1441"/>
      <c r="N3" s="1441"/>
    </row>
    <row r="4" spans="1:14" ht="21" customHeight="1">
      <c r="A4" s="595"/>
      <c r="B4" s="592" t="s">
        <v>168</v>
      </c>
      <c r="C4" s="592"/>
      <c r="D4" s="336" t="s">
        <v>169</v>
      </c>
      <c r="E4" s="336"/>
      <c r="F4" s="592"/>
      <c r="G4" s="1196"/>
      <c r="H4" s="1196"/>
      <c r="I4" s="1196"/>
      <c r="J4" s="1196"/>
      <c r="K4" s="1196"/>
      <c r="L4" s="592"/>
      <c r="M4" s="1441"/>
      <c r="N4" s="1441"/>
    </row>
    <row r="5" spans="1:14" ht="21" customHeight="1">
      <c r="A5" s="595"/>
      <c r="B5" s="592" t="s">
        <v>170</v>
      </c>
      <c r="C5" s="592"/>
      <c r="D5" s="336" t="s">
        <v>171</v>
      </c>
      <c r="E5" s="336"/>
      <c r="F5" s="592"/>
      <c r="G5" s="592"/>
      <c r="H5" s="1196"/>
      <c r="I5" s="1442"/>
      <c r="J5" s="1196"/>
      <c r="K5" s="1196"/>
      <c r="L5" s="592"/>
      <c r="M5" s="1441"/>
      <c r="N5" s="1441"/>
    </row>
    <row r="6" spans="1:14" ht="21" customHeight="1">
      <c r="A6" s="1413"/>
      <c r="B6" s="1414" t="s">
        <v>172</v>
      </c>
      <c r="C6" s="1415"/>
      <c r="D6" s="336" t="s">
        <v>173</v>
      </c>
      <c r="E6" s="336"/>
      <c r="F6" s="1415"/>
      <c r="G6" s="1415"/>
      <c r="H6" s="1414"/>
      <c r="I6" s="1415"/>
      <c r="J6" s="1443"/>
      <c r="K6" s="1415"/>
      <c r="L6" s="592"/>
      <c r="M6" s="1441"/>
      <c r="N6" s="1441"/>
    </row>
    <row r="7" spans="1:14" ht="20.399999999999999" customHeight="1">
      <c r="A7" s="1940" t="s">
        <v>174</v>
      </c>
      <c r="B7" s="1943" t="s">
        <v>96</v>
      </c>
      <c r="C7" s="1944"/>
      <c r="D7" s="1944"/>
      <c r="E7" s="1945"/>
      <c r="F7" s="1936" t="s">
        <v>175</v>
      </c>
      <c r="G7" s="1937"/>
      <c r="H7" s="1936" t="s">
        <v>176</v>
      </c>
      <c r="I7" s="1937"/>
      <c r="J7" s="1936" t="s">
        <v>177</v>
      </c>
      <c r="K7" s="1937"/>
      <c r="L7" s="1940" t="s">
        <v>178</v>
      </c>
      <c r="M7" s="1162"/>
      <c r="N7" s="1162"/>
    </row>
    <row r="8" spans="1:14" ht="20.399999999999999" customHeight="1">
      <c r="A8" s="1941"/>
      <c r="B8" s="1946"/>
      <c r="C8" s="1947"/>
      <c r="D8" s="1947"/>
      <c r="E8" s="1948"/>
      <c r="F8" s="1419" t="s">
        <v>179</v>
      </c>
      <c r="G8" s="1419" t="s">
        <v>11</v>
      </c>
      <c r="H8" s="1420" t="s">
        <v>180</v>
      </c>
      <c r="I8" s="1420" t="s">
        <v>181</v>
      </c>
      <c r="J8" s="1420" t="s">
        <v>180</v>
      </c>
      <c r="K8" s="1420" t="s">
        <v>181</v>
      </c>
      <c r="L8" s="1941"/>
      <c r="M8" s="1162"/>
      <c r="N8" s="1162"/>
    </row>
    <row r="9" spans="1:14" ht="21" customHeight="1">
      <c r="A9" s="1421">
        <v>1</v>
      </c>
      <c r="B9" s="1422" t="s">
        <v>182</v>
      </c>
      <c r="C9" s="1423"/>
      <c r="D9" s="1423"/>
      <c r="E9" s="1424"/>
      <c r="F9" s="1425"/>
      <c r="G9" s="1426"/>
      <c r="H9" s="1427"/>
      <c r="I9" s="1427"/>
      <c r="J9" s="1427"/>
      <c r="K9" s="1427"/>
      <c r="L9" s="1427"/>
      <c r="M9" s="1162"/>
      <c r="N9" s="1162"/>
    </row>
    <row r="10" spans="1:14" ht="21" customHeight="1">
      <c r="A10" s="327"/>
      <c r="B10" s="625" t="s">
        <v>183</v>
      </c>
      <c r="C10" s="692"/>
      <c r="D10" s="692"/>
      <c r="E10" s="603"/>
      <c r="F10" s="1145">
        <v>1</v>
      </c>
      <c r="G10" s="1143" t="s">
        <v>184</v>
      </c>
      <c r="H10" s="650">
        <v>0</v>
      </c>
      <c r="I10" s="650">
        <f t="shared" ref="I10:I14" si="0">F10*H10</f>
        <v>0</v>
      </c>
      <c r="J10" s="650">
        <v>4000</v>
      </c>
      <c r="K10" s="650">
        <f t="shared" ref="K10:K14" si="1">F10*J10</f>
        <v>4000</v>
      </c>
      <c r="L10" s="650">
        <f t="shared" ref="L10:L14" si="2">I10+K10</f>
        <v>4000</v>
      </c>
      <c r="M10" s="1162"/>
      <c r="N10" s="1162"/>
    </row>
    <row r="11" spans="1:14" ht="21" customHeight="1">
      <c r="A11" s="327"/>
      <c r="B11" s="692" t="s">
        <v>185</v>
      </c>
      <c r="C11" s="692"/>
      <c r="D11" s="692"/>
      <c r="E11" s="603"/>
      <c r="F11" s="1145">
        <v>1</v>
      </c>
      <c r="G11" s="1143" t="s">
        <v>184</v>
      </c>
      <c r="H11" s="650">
        <v>420</v>
      </c>
      <c r="I11" s="650">
        <f t="shared" si="0"/>
        <v>420</v>
      </c>
      <c r="J11" s="650">
        <v>0</v>
      </c>
      <c r="K11" s="650">
        <f t="shared" si="1"/>
        <v>0</v>
      </c>
      <c r="L11" s="650">
        <f t="shared" si="2"/>
        <v>420</v>
      </c>
      <c r="M11" s="1162"/>
      <c r="N11" s="1162"/>
    </row>
    <row r="12" spans="1:14" ht="21" customHeight="1">
      <c r="A12" s="327"/>
      <c r="B12" s="692" t="s">
        <v>186</v>
      </c>
      <c r="C12" s="692"/>
      <c r="D12" s="692"/>
      <c r="E12" s="603"/>
      <c r="F12" s="1145">
        <v>1</v>
      </c>
      <c r="G12" s="1143" t="s">
        <v>184</v>
      </c>
      <c r="H12" s="650">
        <v>500</v>
      </c>
      <c r="I12" s="650">
        <f t="shared" si="0"/>
        <v>500</v>
      </c>
      <c r="J12" s="650"/>
      <c r="K12" s="650">
        <f t="shared" si="1"/>
        <v>0</v>
      </c>
      <c r="L12" s="650">
        <f t="shared" si="2"/>
        <v>500</v>
      </c>
      <c r="M12" s="1162"/>
      <c r="N12" s="1162"/>
    </row>
    <row r="13" spans="1:14" ht="21" customHeight="1">
      <c r="A13" s="327"/>
      <c r="B13" s="692" t="s">
        <v>187</v>
      </c>
      <c r="C13" s="692"/>
      <c r="D13" s="692"/>
      <c r="E13" s="603"/>
      <c r="F13" s="1145">
        <v>0.5</v>
      </c>
      <c r="G13" s="1143" t="s">
        <v>184</v>
      </c>
      <c r="H13" s="650">
        <v>1658.88</v>
      </c>
      <c r="I13" s="650">
        <f t="shared" si="0"/>
        <v>829.44</v>
      </c>
      <c r="J13" s="650">
        <v>0</v>
      </c>
      <c r="K13" s="650">
        <f t="shared" si="1"/>
        <v>0</v>
      </c>
      <c r="L13" s="650">
        <f t="shared" si="2"/>
        <v>829.44</v>
      </c>
      <c r="M13" s="1162"/>
      <c r="N13" s="1162"/>
    </row>
    <row r="14" spans="1:14" ht="21" customHeight="1">
      <c r="A14" s="327"/>
      <c r="B14" s="692" t="s">
        <v>188</v>
      </c>
      <c r="C14" s="692"/>
      <c r="D14" s="692"/>
      <c r="E14" s="603"/>
      <c r="F14" s="1145">
        <v>4.5</v>
      </c>
      <c r="G14" s="1143" t="s">
        <v>184</v>
      </c>
      <c r="H14" s="650">
        <v>1850</v>
      </c>
      <c r="I14" s="650">
        <f t="shared" si="0"/>
        <v>8325</v>
      </c>
      <c r="J14" s="650">
        <v>0</v>
      </c>
      <c r="K14" s="650">
        <f t="shared" si="1"/>
        <v>0</v>
      </c>
      <c r="L14" s="650">
        <f t="shared" si="2"/>
        <v>8325</v>
      </c>
      <c r="M14" s="1162"/>
      <c r="N14" s="1162"/>
    </row>
    <row r="15" spans="1:14" ht="21" customHeight="1">
      <c r="A15" s="327"/>
      <c r="B15" s="692" t="s">
        <v>189</v>
      </c>
      <c r="C15" s="692"/>
      <c r="D15" s="692"/>
      <c r="E15" s="603"/>
      <c r="F15" s="1145"/>
      <c r="G15" s="1428"/>
      <c r="H15" s="650"/>
      <c r="I15" s="650"/>
      <c r="J15" s="650"/>
      <c r="K15" s="650"/>
      <c r="L15" s="650"/>
      <c r="M15" s="1162"/>
      <c r="N15" s="1162"/>
    </row>
    <row r="16" spans="1:14" ht="21" customHeight="1">
      <c r="A16" s="327"/>
      <c r="B16" s="692" t="s">
        <v>190</v>
      </c>
      <c r="C16" s="692"/>
      <c r="D16" s="692"/>
      <c r="E16" s="603"/>
      <c r="F16" s="1145">
        <v>14</v>
      </c>
      <c r="G16" s="1429" t="s">
        <v>191</v>
      </c>
      <c r="H16" s="650">
        <v>145</v>
      </c>
      <c r="I16" s="650">
        <f t="shared" ref="I16:I23" si="3">F16*H16</f>
        <v>2030</v>
      </c>
      <c r="J16" s="650">
        <v>0</v>
      </c>
      <c r="K16" s="650">
        <f t="shared" ref="K16:K23" si="4">F16*J16</f>
        <v>0</v>
      </c>
      <c r="L16" s="650">
        <f t="shared" ref="L16:L23" si="5">I16+K16</f>
        <v>2030</v>
      </c>
      <c r="M16" s="1162"/>
      <c r="N16" s="1162"/>
    </row>
    <row r="17" spans="1:14" ht="21" customHeight="1">
      <c r="A17" s="327"/>
      <c r="B17" s="692" t="s">
        <v>192</v>
      </c>
      <c r="C17" s="692"/>
      <c r="D17" s="692"/>
      <c r="E17" s="603"/>
      <c r="F17" s="327">
        <v>5.3999999999999999E-2</v>
      </c>
      <c r="G17" s="1140" t="s">
        <v>191</v>
      </c>
      <c r="H17" s="650">
        <v>20831</v>
      </c>
      <c r="I17" s="650">
        <f t="shared" si="3"/>
        <v>1124.874</v>
      </c>
      <c r="J17" s="650">
        <v>0</v>
      </c>
      <c r="K17" s="650">
        <f t="shared" si="4"/>
        <v>0</v>
      </c>
      <c r="L17" s="650">
        <f t="shared" si="5"/>
        <v>1124.874</v>
      </c>
      <c r="M17" s="1162"/>
      <c r="N17" s="1162"/>
    </row>
    <row r="18" spans="1:14" ht="21" customHeight="1">
      <c r="A18" s="327"/>
      <c r="B18" s="1142" t="s">
        <v>193</v>
      </c>
      <c r="C18" s="692"/>
      <c r="D18" s="692"/>
      <c r="E18" s="603"/>
      <c r="F18" s="1145">
        <v>11</v>
      </c>
      <c r="G18" s="1140" t="s">
        <v>81</v>
      </c>
      <c r="H18" s="650">
        <v>32.4</v>
      </c>
      <c r="I18" s="650">
        <f t="shared" si="3"/>
        <v>356.4</v>
      </c>
      <c r="J18" s="650">
        <v>0</v>
      </c>
      <c r="K18" s="650">
        <f t="shared" si="4"/>
        <v>0</v>
      </c>
      <c r="L18" s="650">
        <f t="shared" si="5"/>
        <v>356.4</v>
      </c>
      <c r="M18" s="1162"/>
      <c r="N18" s="1162"/>
    </row>
    <row r="19" spans="1:14" s="1410" customFormat="1" ht="21" customHeight="1">
      <c r="A19" s="1430"/>
      <c r="B19" s="1142" t="s">
        <v>194</v>
      </c>
      <c r="C19" s="692"/>
      <c r="D19" s="692"/>
      <c r="E19" s="603"/>
      <c r="F19" s="1431">
        <v>16</v>
      </c>
      <c r="G19" s="1432" t="s">
        <v>195</v>
      </c>
      <c r="H19" s="1433">
        <v>180</v>
      </c>
      <c r="I19" s="650">
        <f t="shared" si="3"/>
        <v>2880</v>
      </c>
      <c r="J19" s="1433">
        <v>0</v>
      </c>
      <c r="K19" s="650">
        <f t="shared" si="4"/>
        <v>0</v>
      </c>
      <c r="L19" s="650">
        <f t="shared" si="5"/>
        <v>2880</v>
      </c>
      <c r="M19" s="1444"/>
      <c r="N19" s="1444"/>
    </row>
    <row r="20" spans="1:14" s="1410" customFormat="1" ht="21" customHeight="1">
      <c r="A20" s="1430"/>
      <c r="B20" s="1142" t="s">
        <v>196</v>
      </c>
      <c r="C20" s="692"/>
      <c r="D20" s="692"/>
      <c r="E20" s="603"/>
      <c r="F20" s="1431">
        <v>4</v>
      </c>
      <c r="G20" s="1432" t="s">
        <v>75</v>
      </c>
      <c r="H20" s="1433">
        <v>320</v>
      </c>
      <c r="I20" s="650">
        <f t="shared" si="3"/>
        <v>1280</v>
      </c>
      <c r="J20" s="1433">
        <v>0</v>
      </c>
      <c r="K20" s="650">
        <f t="shared" si="4"/>
        <v>0</v>
      </c>
      <c r="L20" s="650">
        <f t="shared" si="5"/>
        <v>1280</v>
      </c>
      <c r="M20" s="1444"/>
      <c r="N20" s="1444"/>
    </row>
    <row r="21" spans="1:14" s="1410" customFormat="1" ht="21" customHeight="1">
      <c r="A21" s="1430"/>
      <c r="B21" s="1142" t="s">
        <v>197</v>
      </c>
      <c r="C21" s="692"/>
      <c r="D21" s="692"/>
      <c r="E21" s="603"/>
      <c r="F21" s="1431">
        <v>16</v>
      </c>
      <c r="G21" s="1432" t="s">
        <v>75</v>
      </c>
      <c r="H21" s="1433">
        <v>165</v>
      </c>
      <c r="I21" s="650">
        <f t="shared" si="3"/>
        <v>2640</v>
      </c>
      <c r="J21" s="1433">
        <v>0</v>
      </c>
      <c r="K21" s="650">
        <f t="shared" si="4"/>
        <v>0</v>
      </c>
      <c r="L21" s="650">
        <f t="shared" si="5"/>
        <v>2640</v>
      </c>
      <c r="M21" s="1444"/>
      <c r="N21" s="1444"/>
    </row>
    <row r="22" spans="1:14" ht="21" customHeight="1">
      <c r="A22" s="327"/>
      <c r="B22" s="1142" t="s">
        <v>198</v>
      </c>
      <c r="C22" s="692"/>
      <c r="D22" s="692"/>
      <c r="E22" s="603"/>
      <c r="F22" s="1431">
        <v>33</v>
      </c>
      <c r="G22" s="1432" t="s">
        <v>83</v>
      </c>
      <c r="H22" s="1433">
        <v>320</v>
      </c>
      <c r="I22" s="650">
        <f t="shared" si="3"/>
        <v>10560</v>
      </c>
      <c r="J22" s="1433">
        <v>0</v>
      </c>
      <c r="K22" s="650">
        <f t="shared" si="4"/>
        <v>0</v>
      </c>
      <c r="L22" s="1017">
        <f t="shared" si="5"/>
        <v>10560</v>
      </c>
      <c r="M22" s="1162"/>
      <c r="N22" s="1162"/>
    </row>
    <row r="23" spans="1:14" ht="21" customHeight="1">
      <c r="A23" s="327"/>
      <c r="B23" s="1142" t="s">
        <v>199</v>
      </c>
      <c r="C23" s="692"/>
      <c r="D23" s="692"/>
      <c r="E23" s="603"/>
      <c r="F23" s="1431">
        <v>12</v>
      </c>
      <c r="G23" s="1432" t="s">
        <v>81</v>
      </c>
      <c r="H23" s="1433">
        <v>100</v>
      </c>
      <c r="I23" s="650">
        <f t="shared" si="3"/>
        <v>1200</v>
      </c>
      <c r="J23" s="1433">
        <v>0</v>
      </c>
      <c r="K23" s="650">
        <f t="shared" si="4"/>
        <v>0</v>
      </c>
      <c r="L23" s="650">
        <f t="shared" si="5"/>
        <v>1200</v>
      </c>
      <c r="M23" s="1162"/>
      <c r="N23" s="1162"/>
    </row>
    <row r="24" spans="1:14" ht="21" customHeight="1">
      <c r="A24" s="1138"/>
      <c r="B24" s="1142" t="s">
        <v>200</v>
      </c>
      <c r="C24" s="692"/>
      <c r="D24" s="692"/>
      <c r="E24" s="603"/>
      <c r="F24" s="1145"/>
      <c r="G24" s="1143"/>
      <c r="H24" s="650"/>
      <c r="I24" s="650"/>
      <c r="J24" s="650"/>
      <c r="K24" s="650"/>
      <c r="L24" s="650"/>
      <c r="M24" s="1162"/>
      <c r="N24" s="1162"/>
    </row>
    <row r="25" spans="1:14" ht="21" customHeight="1">
      <c r="A25" s="327"/>
      <c r="B25" s="1142" t="s">
        <v>201</v>
      </c>
      <c r="C25" s="692"/>
      <c r="D25" s="692"/>
      <c r="E25" s="603"/>
      <c r="F25" s="1145">
        <v>17</v>
      </c>
      <c r="G25" s="1143" t="s">
        <v>65</v>
      </c>
      <c r="H25" s="650">
        <v>320</v>
      </c>
      <c r="I25" s="650">
        <f t="shared" ref="I25:I29" si="6">F25*H25</f>
        <v>5440</v>
      </c>
      <c r="J25" s="650">
        <v>0</v>
      </c>
      <c r="K25" s="650">
        <f t="shared" ref="K25:K27" si="7">F25*J25</f>
        <v>0</v>
      </c>
      <c r="L25" s="650">
        <f t="shared" ref="L25:L27" si="8">I25+K25</f>
        <v>5440</v>
      </c>
      <c r="M25" s="1162"/>
      <c r="N25" s="1162"/>
    </row>
    <row r="26" spans="1:14" ht="21" customHeight="1">
      <c r="A26" s="327"/>
      <c r="B26" s="1142" t="s">
        <v>202</v>
      </c>
      <c r="C26" s="692"/>
      <c r="D26" s="692"/>
      <c r="E26" s="603"/>
      <c r="F26" s="1145">
        <v>10</v>
      </c>
      <c r="G26" s="1143" t="s">
        <v>65</v>
      </c>
      <c r="H26" s="650">
        <v>120</v>
      </c>
      <c r="I26" s="650">
        <v>1000</v>
      </c>
      <c r="J26" s="650">
        <v>0</v>
      </c>
      <c r="K26" s="650">
        <f t="shared" si="7"/>
        <v>0</v>
      </c>
      <c r="L26" s="650">
        <f t="shared" si="8"/>
        <v>1000</v>
      </c>
      <c r="M26" s="1162"/>
      <c r="N26" s="1162"/>
    </row>
    <row r="27" spans="1:14" ht="21" customHeight="1">
      <c r="A27" s="327"/>
      <c r="B27" s="1142" t="s">
        <v>203</v>
      </c>
      <c r="C27" s="692"/>
      <c r="D27" s="692"/>
      <c r="E27" s="603"/>
      <c r="F27" s="1145">
        <v>55</v>
      </c>
      <c r="G27" s="1143" t="s">
        <v>195</v>
      </c>
      <c r="H27" s="650">
        <v>2</v>
      </c>
      <c r="I27" s="650">
        <f t="shared" si="6"/>
        <v>110</v>
      </c>
      <c r="J27" s="650">
        <v>0</v>
      </c>
      <c r="K27" s="650">
        <f t="shared" si="7"/>
        <v>0</v>
      </c>
      <c r="L27" s="650">
        <f t="shared" si="8"/>
        <v>110</v>
      </c>
      <c r="M27" s="1162"/>
      <c r="N27" s="1162"/>
    </row>
    <row r="28" spans="1:14" ht="21" customHeight="1">
      <c r="A28" s="1138">
        <v>2</v>
      </c>
      <c r="B28" s="1174" t="s">
        <v>204</v>
      </c>
      <c r="C28" s="692"/>
      <c r="D28" s="692"/>
      <c r="E28" s="603"/>
      <c r="F28" s="1145"/>
      <c r="G28" s="1143"/>
      <c r="H28" s="650"/>
      <c r="I28" s="650"/>
      <c r="J28" s="650"/>
      <c r="K28" s="650"/>
      <c r="L28" s="650"/>
      <c r="M28" s="1162"/>
      <c r="N28" s="1162"/>
    </row>
    <row r="29" spans="1:14" ht="21" customHeight="1">
      <c r="A29" s="1138"/>
      <c r="B29" s="1142" t="s">
        <v>205</v>
      </c>
      <c r="C29" s="692"/>
      <c r="D29" s="692"/>
      <c r="E29" s="603"/>
      <c r="F29" s="1145">
        <v>75</v>
      </c>
      <c r="G29" s="1143" t="s">
        <v>83</v>
      </c>
      <c r="H29" s="650">
        <v>30</v>
      </c>
      <c r="I29" s="650">
        <f t="shared" si="6"/>
        <v>2250</v>
      </c>
      <c r="J29" s="650">
        <v>0</v>
      </c>
      <c r="K29" s="650">
        <f t="shared" ref="K29:K35" si="9">F29*J29</f>
        <v>0</v>
      </c>
      <c r="L29" s="650">
        <f t="shared" ref="L29:L35" si="10">I29+K29</f>
        <v>2250</v>
      </c>
      <c r="M29" s="1162"/>
      <c r="N29" s="1162"/>
    </row>
    <row r="30" spans="1:14" ht="21" customHeight="1">
      <c r="A30" s="1138">
        <v>3</v>
      </c>
      <c r="B30" s="1175" t="s">
        <v>206</v>
      </c>
      <c r="C30" s="692"/>
      <c r="D30" s="692"/>
      <c r="E30" s="603"/>
      <c r="F30" s="1145"/>
      <c r="G30" s="1143"/>
      <c r="H30" s="650"/>
      <c r="I30" s="650"/>
      <c r="J30" s="650"/>
      <c r="K30" s="650"/>
      <c r="L30" s="650"/>
      <c r="M30" s="1162"/>
      <c r="N30" s="1162"/>
    </row>
    <row r="31" spans="1:14" ht="21" customHeight="1">
      <c r="A31" s="327"/>
      <c r="B31" s="692" t="s">
        <v>207</v>
      </c>
      <c r="C31" s="692"/>
      <c r="D31" s="692"/>
      <c r="E31" s="603"/>
      <c r="F31" s="1145">
        <v>1</v>
      </c>
      <c r="G31" s="1143" t="s">
        <v>208</v>
      </c>
      <c r="H31" s="650">
        <v>0</v>
      </c>
      <c r="I31" s="650">
        <f t="shared" ref="I31:I35" si="11">F31*H31</f>
        <v>0</v>
      </c>
      <c r="J31" s="650">
        <v>2500</v>
      </c>
      <c r="K31" s="650">
        <f t="shared" si="9"/>
        <v>2500</v>
      </c>
      <c r="L31" s="650">
        <f t="shared" si="10"/>
        <v>2500</v>
      </c>
      <c r="M31" s="1188"/>
      <c r="N31" s="1167"/>
    </row>
    <row r="32" spans="1:14" ht="21" customHeight="1">
      <c r="A32" s="327"/>
      <c r="B32" s="692" t="s">
        <v>209</v>
      </c>
      <c r="C32" s="692"/>
      <c r="D32" s="692"/>
      <c r="E32" s="603"/>
      <c r="F32" s="1145">
        <v>1</v>
      </c>
      <c r="G32" s="1143" t="s">
        <v>210</v>
      </c>
      <c r="H32" s="650">
        <v>4200</v>
      </c>
      <c r="I32" s="650">
        <f t="shared" si="11"/>
        <v>4200</v>
      </c>
      <c r="J32" s="650">
        <v>0</v>
      </c>
      <c r="K32" s="650">
        <f t="shared" si="9"/>
        <v>0</v>
      </c>
      <c r="L32" s="650">
        <f t="shared" si="10"/>
        <v>4200</v>
      </c>
      <c r="M32" s="1188"/>
      <c r="N32" s="1167"/>
    </row>
    <row r="33" spans="1:14" ht="21" customHeight="1">
      <c r="A33" s="327"/>
      <c r="B33" s="692" t="s">
        <v>211</v>
      </c>
      <c r="C33" s="692"/>
      <c r="D33" s="692"/>
      <c r="E33" s="603"/>
      <c r="F33" s="1145">
        <v>1</v>
      </c>
      <c r="G33" s="1143" t="s">
        <v>212</v>
      </c>
      <c r="H33" s="650">
        <v>180</v>
      </c>
      <c r="I33" s="650">
        <f t="shared" si="11"/>
        <v>180</v>
      </c>
      <c r="J33" s="650">
        <v>0</v>
      </c>
      <c r="K33" s="650">
        <f t="shared" si="9"/>
        <v>0</v>
      </c>
      <c r="L33" s="650">
        <f t="shared" si="10"/>
        <v>180</v>
      </c>
      <c r="M33" s="1188"/>
      <c r="N33" s="1167"/>
    </row>
    <row r="34" spans="1:14" ht="21" customHeight="1">
      <c r="A34" s="327"/>
      <c r="B34" s="602" t="s">
        <v>213</v>
      </c>
      <c r="C34" s="692"/>
      <c r="D34" s="692"/>
      <c r="E34" s="603"/>
      <c r="F34" s="1145">
        <v>2</v>
      </c>
      <c r="G34" s="1143" t="s">
        <v>65</v>
      </c>
      <c r="H34" s="650">
        <v>75</v>
      </c>
      <c r="I34" s="650">
        <f t="shared" si="11"/>
        <v>150</v>
      </c>
      <c r="J34" s="650">
        <v>0</v>
      </c>
      <c r="K34" s="650">
        <f t="shared" si="9"/>
        <v>0</v>
      </c>
      <c r="L34" s="650">
        <f t="shared" si="10"/>
        <v>150</v>
      </c>
      <c r="M34" s="1188"/>
      <c r="N34" s="1167"/>
    </row>
    <row r="35" spans="1:14" ht="21" customHeight="1">
      <c r="A35" s="327"/>
      <c r="B35" s="1142"/>
      <c r="C35" s="692"/>
      <c r="D35" s="692"/>
      <c r="E35" s="603"/>
      <c r="F35" s="1145"/>
      <c r="G35" s="1143"/>
      <c r="H35" s="650">
        <v>0</v>
      </c>
      <c r="I35" s="650">
        <f t="shared" si="11"/>
        <v>0</v>
      </c>
      <c r="J35" s="650">
        <v>0</v>
      </c>
      <c r="K35" s="650">
        <f t="shared" si="9"/>
        <v>0</v>
      </c>
      <c r="L35" s="650">
        <f t="shared" si="10"/>
        <v>0</v>
      </c>
      <c r="M35" s="1188"/>
      <c r="N35" s="1167"/>
    </row>
    <row r="36" spans="1:14" ht="21" customHeight="1">
      <c r="A36" s="1434"/>
      <c r="B36" s="1177"/>
      <c r="C36" s="1435" t="s">
        <v>214</v>
      </c>
      <c r="D36" s="1435"/>
      <c r="E36" s="1436"/>
      <c r="F36" s="1437"/>
      <c r="G36" s="1438"/>
      <c r="H36" s="1438"/>
      <c r="I36" s="1189">
        <f t="shared" ref="I36:L36" si="12">SUM(I9:I35)</f>
        <v>45475.714</v>
      </c>
      <c r="J36" s="1189"/>
      <c r="K36" s="1189">
        <f t="shared" si="12"/>
        <v>6500</v>
      </c>
      <c r="L36" s="1189">
        <f t="shared" si="12"/>
        <v>51975.714</v>
      </c>
      <c r="M36" s="1188"/>
      <c r="N36" s="1188"/>
    </row>
    <row r="37" spans="1:14" ht="21" customHeight="1">
      <c r="A37" s="595"/>
      <c r="B37" s="336"/>
      <c r="C37" s="592"/>
      <c r="D37" s="592"/>
      <c r="E37" s="336"/>
      <c r="F37" s="595"/>
      <c r="G37" s="688"/>
      <c r="H37" s="688"/>
      <c r="I37" s="1196"/>
      <c r="J37" s="1196"/>
      <c r="K37" s="1196"/>
      <c r="L37" s="1196"/>
      <c r="M37" s="1188"/>
      <c r="N37" s="1188"/>
    </row>
    <row r="38" spans="1:14" ht="21" customHeight="1">
      <c r="A38" s="595"/>
      <c r="B38" s="336"/>
      <c r="C38" s="592"/>
      <c r="D38" s="592"/>
      <c r="E38" s="336"/>
      <c r="F38" s="595"/>
      <c r="G38" s="688"/>
      <c r="H38" s="688"/>
      <c r="I38" s="1196"/>
      <c r="J38" s="1196"/>
      <c r="K38" s="1196"/>
      <c r="L38" s="1196"/>
      <c r="M38" s="1188"/>
      <c r="N38" s="1188"/>
    </row>
    <row r="39" spans="1:14" ht="21" customHeight="1">
      <c r="A39" s="595"/>
      <c r="B39" s="336"/>
      <c r="C39" s="592"/>
      <c r="D39" s="592"/>
      <c r="E39" s="336"/>
      <c r="F39" s="595"/>
      <c r="G39" s="688"/>
      <c r="H39" s="688"/>
      <c r="I39" s="1196"/>
      <c r="J39" s="1196"/>
      <c r="K39" s="1196"/>
      <c r="L39" s="1196"/>
      <c r="M39" s="1188"/>
      <c r="N39" s="1188"/>
    </row>
    <row r="40" spans="1:14" ht="21" customHeight="1">
      <c r="A40" s="595"/>
      <c r="B40" s="336"/>
      <c r="C40" s="592"/>
      <c r="D40" s="592"/>
      <c r="E40" s="336"/>
      <c r="F40" s="595"/>
      <c r="G40" s="688"/>
      <c r="H40" s="688"/>
      <c r="I40" s="1196"/>
      <c r="J40" s="1196"/>
      <c r="K40" s="1196"/>
      <c r="L40" s="1196"/>
      <c r="M40" s="1188"/>
      <c r="N40" s="1188"/>
    </row>
    <row r="41" spans="1:14" ht="28.5" customHeight="1">
      <c r="A41" s="595"/>
      <c r="B41" s="336"/>
      <c r="C41" s="592"/>
      <c r="D41" s="592"/>
      <c r="E41" s="336"/>
      <c r="F41" s="595"/>
      <c r="G41" s="688"/>
      <c r="H41" s="688"/>
      <c r="I41" s="1196"/>
      <c r="J41" s="1196"/>
      <c r="K41" s="1196"/>
      <c r="L41" s="1196"/>
      <c r="M41" s="1188"/>
      <c r="N41" s="1188"/>
    </row>
    <row r="42" spans="1:14" s="1410" customFormat="1" ht="22.5" customHeight="1">
      <c r="A42" s="1938" t="s">
        <v>164</v>
      </c>
      <c r="B42" s="1938"/>
      <c r="C42" s="1938"/>
      <c r="D42" s="1938"/>
      <c r="E42" s="1938"/>
      <c r="F42" s="1938"/>
      <c r="G42" s="1938"/>
      <c r="H42" s="1938"/>
      <c r="I42" s="1938"/>
      <c r="J42" s="1938"/>
      <c r="K42" s="1938"/>
      <c r="L42" s="1445"/>
      <c r="M42" s="1444"/>
      <c r="N42" s="1444"/>
    </row>
    <row r="43" spans="1:14" ht="20.399999999999999" customHeight="1">
      <c r="A43" s="595"/>
      <c r="B43" s="592" t="s">
        <v>165</v>
      </c>
      <c r="C43" s="592"/>
      <c r="D43" s="336" t="str">
        <f t="shared" ref="D43:D47" si="13">D2</f>
        <v>ย้ายหอถังประปาจากศาลาประชาคมไปวัดสุทธาราม แบบหอถังสูง ขนาด 10 ลบ.ม. ขนาด 3.60x3.60 เมตร สูง 11 เมตร</v>
      </c>
      <c r="E43" s="336"/>
      <c r="F43" s="592"/>
      <c r="G43" s="1196"/>
      <c r="H43" s="1196"/>
      <c r="I43" s="1196"/>
      <c r="J43" s="1196"/>
      <c r="K43" s="1196"/>
      <c r="L43" s="592"/>
      <c r="M43" s="1441"/>
      <c r="N43" s="1441"/>
    </row>
    <row r="44" spans="1:14" ht="20.399999999999999" customHeight="1">
      <c r="A44" s="595"/>
      <c r="B44" s="592"/>
      <c r="C44" s="592"/>
      <c r="D44" s="336" t="str">
        <f t="shared" si="13"/>
        <v>พร้อมเจาะบ่อบาดาล หมู่ที่ 3 บ้านหนองสะหนาย ตำบลหนองไผ่ อำเภอหนองหาน จังหวัดอุดรธานี</v>
      </c>
      <c r="E44" s="336"/>
      <c r="F44" s="592"/>
      <c r="G44" s="1196"/>
      <c r="H44" s="1196"/>
      <c r="I44" s="1196"/>
      <c r="J44" s="1196"/>
      <c r="K44" s="1196"/>
      <c r="L44" s="592"/>
      <c r="M44" s="1441"/>
      <c r="N44" s="1441"/>
    </row>
    <row r="45" spans="1:14" ht="20.399999999999999" customHeight="1">
      <c r="A45" s="595"/>
      <c r="B45" s="592" t="s">
        <v>168</v>
      </c>
      <c r="C45" s="592"/>
      <c r="D45" s="336" t="str">
        <f t="shared" si="13"/>
        <v>บ้านหนองสะหนาย หมู่ที่ 3</v>
      </c>
      <c r="E45" s="336"/>
      <c r="F45" s="592"/>
      <c r="G45" s="1196"/>
      <c r="H45" s="1196"/>
      <c r="I45" s="1196"/>
      <c r="J45" s="1196"/>
      <c r="K45" s="1196"/>
      <c r="L45" s="592"/>
      <c r="M45" s="1441"/>
      <c r="N45" s="1441"/>
    </row>
    <row r="46" spans="1:14" ht="20.399999999999999" customHeight="1">
      <c r="A46" s="595"/>
      <c r="B46" s="592" t="s">
        <v>170</v>
      </c>
      <c r="C46" s="592"/>
      <c r="D46" s="336" t="str">
        <f t="shared" si="13"/>
        <v>เทศบาลตำบลหนองไผ่  ตำบลหนองไผ่  อำเภอหนองหาน  จังหวัดอุดรธานี</v>
      </c>
      <c r="E46" s="336"/>
      <c r="F46" s="592"/>
      <c r="G46" s="1196"/>
      <c r="H46" s="1196"/>
      <c r="I46" s="1196"/>
      <c r="J46" s="1196"/>
      <c r="K46" s="1196"/>
      <c r="L46" s="592"/>
      <c r="M46" s="1441"/>
      <c r="N46" s="1441"/>
    </row>
    <row r="47" spans="1:14" ht="20.399999999999999" customHeight="1">
      <c r="A47" s="1413"/>
      <c r="B47" s="1414" t="s">
        <v>215</v>
      </c>
      <c r="C47" s="1414"/>
      <c r="D47" s="1439" t="str">
        <f t="shared" si="13"/>
        <v>วันที่ 15  เดือน  มิถุนายน  พ.ศ. 2560</v>
      </c>
      <c r="E47" s="336"/>
      <c r="F47" s="1414"/>
      <c r="G47" s="1415"/>
      <c r="H47" s="1415"/>
      <c r="I47" s="1415"/>
      <c r="J47" s="1415"/>
      <c r="K47" s="1415"/>
      <c r="L47" s="592"/>
      <c r="M47" s="1441"/>
      <c r="N47" s="1441"/>
    </row>
    <row r="48" spans="1:14" ht="20.399999999999999" customHeight="1">
      <c r="A48" s="1940" t="s">
        <v>174</v>
      </c>
      <c r="B48" s="1943" t="s">
        <v>96</v>
      </c>
      <c r="C48" s="1949"/>
      <c r="D48" s="1949"/>
      <c r="E48" s="1950"/>
      <c r="F48" s="1936" t="s">
        <v>175</v>
      </c>
      <c r="G48" s="1939"/>
      <c r="H48" s="1936" t="s">
        <v>176</v>
      </c>
      <c r="I48" s="1939"/>
      <c r="J48" s="1936" t="s">
        <v>177</v>
      </c>
      <c r="K48" s="1939"/>
      <c r="L48" s="1940" t="s">
        <v>178</v>
      </c>
      <c r="M48" s="1162"/>
      <c r="N48" s="1162"/>
    </row>
    <row r="49" spans="1:14" ht="20.399999999999999" customHeight="1">
      <c r="A49" s="1942"/>
      <c r="B49" s="1951"/>
      <c r="C49" s="1952"/>
      <c r="D49" s="1952"/>
      <c r="E49" s="1953"/>
      <c r="F49" s="1419" t="s">
        <v>179</v>
      </c>
      <c r="G49" s="1419" t="s">
        <v>11</v>
      </c>
      <c r="H49" s="1420" t="s">
        <v>180</v>
      </c>
      <c r="I49" s="1420" t="s">
        <v>181</v>
      </c>
      <c r="J49" s="1420" t="s">
        <v>180</v>
      </c>
      <c r="K49" s="1420" t="s">
        <v>181</v>
      </c>
      <c r="L49" s="1942"/>
      <c r="M49" s="1162"/>
      <c r="N49" s="1162"/>
    </row>
    <row r="50" spans="1:14" ht="20.399999999999999" customHeight="1">
      <c r="A50" s="1425"/>
      <c r="B50" s="1423"/>
      <c r="C50" s="1440" t="s">
        <v>216</v>
      </c>
      <c r="D50" s="1440"/>
      <c r="E50" s="1424"/>
      <c r="F50" s="1425"/>
      <c r="G50" s="1427"/>
      <c r="H50" s="1427"/>
      <c r="I50" s="1446">
        <f t="shared" ref="I50:L50" si="14">I36</f>
        <v>45475.714</v>
      </c>
      <c r="J50" s="1427"/>
      <c r="K50" s="1446">
        <f t="shared" si="14"/>
        <v>6500</v>
      </c>
      <c r="L50" s="1446">
        <f t="shared" si="14"/>
        <v>51975.714</v>
      </c>
      <c r="M50" s="1162"/>
      <c r="N50" s="1162"/>
    </row>
    <row r="51" spans="1:14" ht="20.25" customHeight="1">
      <c r="A51" s="1138">
        <v>4</v>
      </c>
      <c r="B51" s="1266" t="s">
        <v>217</v>
      </c>
      <c r="C51" s="625"/>
      <c r="D51" s="625"/>
      <c r="E51" s="659"/>
      <c r="F51" s="327"/>
      <c r="G51" s="1140"/>
      <c r="H51" s="604"/>
      <c r="I51" s="650"/>
      <c r="J51" s="604"/>
      <c r="K51" s="650"/>
      <c r="L51" s="650"/>
      <c r="M51" s="1162"/>
      <c r="N51" s="1162"/>
    </row>
    <row r="52" spans="1:14" ht="20.25" customHeight="1">
      <c r="A52" s="1138"/>
      <c r="B52" s="1141" t="s">
        <v>218</v>
      </c>
      <c r="C52" s="625"/>
      <c r="D52" s="625"/>
      <c r="E52" s="659"/>
      <c r="F52" s="327"/>
      <c r="G52" s="1140"/>
      <c r="H52" s="604"/>
      <c r="I52" s="650"/>
      <c r="J52" s="604"/>
      <c r="K52" s="650"/>
      <c r="L52" s="650"/>
      <c r="M52" s="1162"/>
      <c r="N52" s="1162"/>
    </row>
    <row r="53" spans="1:14">
      <c r="A53" s="327"/>
      <c r="B53" s="1142" t="s">
        <v>219</v>
      </c>
      <c r="C53" s="692"/>
      <c r="D53" s="692"/>
      <c r="E53" s="603"/>
      <c r="F53" s="327">
        <v>40</v>
      </c>
      <c r="G53" s="1143" t="s">
        <v>65</v>
      </c>
      <c r="H53" s="650">
        <v>105</v>
      </c>
      <c r="I53" s="650">
        <f t="shared" ref="I53:I59" si="15">F53*H53</f>
        <v>4200</v>
      </c>
      <c r="J53" s="650">
        <v>60</v>
      </c>
      <c r="K53" s="650">
        <f t="shared" ref="K53:K59" si="16">F53*J53</f>
        <v>2400</v>
      </c>
      <c r="L53" s="650">
        <f t="shared" ref="L53:L59" si="17">I53+K53</f>
        <v>6600</v>
      </c>
      <c r="M53" s="1188"/>
      <c r="N53" s="1167"/>
    </row>
    <row r="54" spans="1:14">
      <c r="A54" s="327"/>
      <c r="B54" s="1142" t="s">
        <v>220</v>
      </c>
      <c r="C54" s="692"/>
      <c r="D54" s="692"/>
      <c r="E54" s="603"/>
      <c r="F54" s="327">
        <v>12</v>
      </c>
      <c r="G54" s="1143" t="s">
        <v>195</v>
      </c>
      <c r="H54" s="650">
        <v>45</v>
      </c>
      <c r="I54" s="650">
        <f t="shared" si="15"/>
        <v>540</v>
      </c>
      <c r="J54" s="650">
        <v>0</v>
      </c>
      <c r="K54" s="650">
        <f t="shared" si="16"/>
        <v>0</v>
      </c>
      <c r="L54" s="650">
        <f t="shared" si="17"/>
        <v>540</v>
      </c>
      <c r="M54" s="1188"/>
      <c r="N54" s="1167"/>
    </row>
    <row r="55" spans="1:14">
      <c r="A55" s="327"/>
      <c r="B55" s="1142" t="s">
        <v>221</v>
      </c>
      <c r="C55" s="692"/>
      <c r="D55" s="692"/>
      <c r="E55" s="603"/>
      <c r="F55" s="327">
        <v>4</v>
      </c>
      <c r="G55" s="1143" t="s">
        <v>195</v>
      </c>
      <c r="H55" s="650">
        <v>35</v>
      </c>
      <c r="I55" s="650">
        <f t="shared" si="15"/>
        <v>140</v>
      </c>
      <c r="J55" s="650">
        <v>0</v>
      </c>
      <c r="K55" s="650">
        <f t="shared" si="16"/>
        <v>0</v>
      </c>
      <c r="L55" s="650">
        <f t="shared" si="17"/>
        <v>140</v>
      </c>
      <c r="M55" s="1188"/>
      <c r="N55" s="1167"/>
    </row>
    <row r="56" spans="1:14">
      <c r="A56" s="327"/>
      <c r="B56" s="1142" t="s">
        <v>222</v>
      </c>
      <c r="C56" s="692"/>
      <c r="D56" s="692"/>
      <c r="E56" s="603"/>
      <c r="F56" s="327">
        <v>2</v>
      </c>
      <c r="G56" s="1143" t="s">
        <v>195</v>
      </c>
      <c r="H56" s="650">
        <v>55</v>
      </c>
      <c r="I56" s="650">
        <f t="shared" si="15"/>
        <v>110</v>
      </c>
      <c r="J56" s="650">
        <v>0</v>
      </c>
      <c r="K56" s="650">
        <f t="shared" si="16"/>
        <v>0</v>
      </c>
      <c r="L56" s="650">
        <f t="shared" si="17"/>
        <v>110</v>
      </c>
      <c r="M56" s="1188"/>
      <c r="N56" s="1167"/>
    </row>
    <row r="57" spans="1:14">
      <c r="A57" s="327"/>
      <c r="B57" s="1142" t="s">
        <v>223</v>
      </c>
      <c r="C57" s="692"/>
      <c r="D57" s="692"/>
      <c r="E57" s="603"/>
      <c r="F57" s="327">
        <v>10</v>
      </c>
      <c r="G57" s="1143" t="s">
        <v>195</v>
      </c>
      <c r="H57" s="650">
        <v>32</v>
      </c>
      <c r="I57" s="650">
        <f t="shared" si="15"/>
        <v>320</v>
      </c>
      <c r="J57" s="650">
        <v>0</v>
      </c>
      <c r="K57" s="650">
        <f t="shared" si="16"/>
        <v>0</v>
      </c>
      <c r="L57" s="650">
        <f t="shared" si="17"/>
        <v>320</v>
      </c>
      <c r="M57" s="1188"/>
      <c r="N57" s="1167"/>
    </row>
    <row r="58" spans="1:14">
      <c r="A58" s="327"/>
      <c r="B58" s="1142" t="s">
        <v>224</v>
      </c>
      <c r="C58" s="692"/>
      <c r="D58" s="692"/>
      <c r="E58" s="603"/>
      <c r="F58" s="327">
        <v>1</v>
      </c>
      <c r="G58" s="1143" t="s">
        <v>195</v>
      </c>
      <c r="H58" s="650">
        <v>1200</v>
      </c>
      <c r="I58" s="650">
        <f t="shared" si="15"/>
        <v>1200</v>
      </c>
      <c r="J58" s="650">
        <v>0</v>
      </c>
      <c r="K58" s="650">
        <f t="shared" si="16"/>
        <v>0</v>
      </c>
      <c r="L58" s="650">
        <f t="shared" si="17"/>
        <v>1200</v>
      </c>
      <c r="M58" s="1188"/>
      <c r="N58" s="1167"/>
    </row>
    <row r="59" spans="1:14">
      <c r="A59" s="327"/>
      <c r="B59" s="1142" t="s">
        <v>225</v>
      </c>
      <c r="C59" s="692"/>
      <c r="D59" s="692"/>
      <c r="E59" s="603"/>
      <c r="F59" s="327">
        <v>2</v>
      </c>
      <c r="G59" s="1143" t="s">
        <v>226</v>
      </c>
      <c r="H59" s="650">
        <v>410</v>
      </c>
      <c r="I59" s="650">
        <f t="shared" si="15"/>
        <v>820</v>
      </c>
      <c r="J59" s="650">
        <v>0</v>
      </c>
      <c r="K59" s="650">
        <f t="shared" si="16"/>
        <v>0</v>
      </c>
      <c r="L59" s="650">
        <f t="shared" si="17"/>
        <v>820</v>
      </c>
      <c r="M59" s="1188"/>
      <c r="N59" s="1167"/>
    </row>
    <row r="60" spans="1:14">
      <c r="A60" s="1138">
        <v>5</v>
      </c>
      <c r="B60" s="1174" t="s">
        <v>227</v>
      </c>
      <c r="C60" s="1175"/>
      <c r="D60" s="692"/>
      <c r="E60" s="603"/>
      <c r="F60" s="327"/>
      <c r="G60" s="1143"/>
      <c r="H60" s="650"/>
      <c r="I60" s="650"/>
      <c r="J60" s="650"/>
      <c r="K60" s="650"/>
      <c r="L60" s="650"/>
      <c r="M60" s="1188"/>
      <c r="N60" s="1167"/>
    </row>
    <row r="61" spans="1:14">
      <c r="A61" s="327"/>
      <c r="B61" s="1142" t="s">
        <v>228</v>
      </c>
      <c r="C61" s="692"/>
      <c r="D61" s="692"/>
      <c r="E61" s="603"/>
      <c r="F61" s="327">
        <v>1</v>
      </c>
      <c r="G61" s="1143" t="s">
        <v>208</v>
      </c>
      <c r="H61" s="650">
        <v>0</v>
      </c>
      <c r="I61" s="650">
        <f t="shared" ref="I61:I63" si="18">F61*H61</f>
        <v>0</v>
      </c>
      <c r="J61" s="650">
        <v>0</v>
      </c>
      <c r="K61" s="650">
        <v>0</v>
      </c>
      <c r="L61" s="650">
        <f t="shared" ref="L61:L63" si="19">I61+K61</f>
        <v>0</v>
      </c>
      <c r="M61" s="1188"/>
      <c r="N61" s="1167"/>
    </row>
    <row r="62" spans="1:14">
      <c r="A62" s="327"/>
      <c r="B62" s="1142" t="s">
        <v>229</v>
      </c>
      <c r="C62" s="692"/>
      <c r="D62" s="692"/>
      <c r="E62" s="603"/>
      <c r="F62" s="327">
        <v>1</v>
      </c>
      <c r="G62" s="1143" t="s">
        <v>208</v>
      </c>
      <c r="H62" s="650">
        <v>0</v>
      </c>
      <c r="I62" s="650">
        <f t="shared" si="18"/>
        <v>0</v>
      </c>
      <c r="J62" s="650">
        <v>8000</v>
      </c>
      <c r="K62" s="650">
        <f t="shared" ref="K62:K66" si="20">F62*J62</f>
        <v>8000</v>
      </c>
      <c r="L62" s="650">
        <f t="shared" si="19"/>
        <v>8000</v>
      </c>
      <c r="M62" s="1188"/>
      <c r="N62" s="1167"/>
    </row>
    <row r="63" spans="1:14">
      <c r="A63" s="327"/>
      <c r="B63" s="1142" t="s">
        <v>230</v>
      </c>
      <c r="C63" s="692"/>
      <c r="D63" s="692"/>
      <c r="E63" s="603"/>
      <c r="F63" s="327">
        <v>1</v>
      </c>
      <c r="G63" s="1143" t="s">
        <v>208</v>
      </c>
      <c r="H63" s="650">
        <v>0</v>
      </c>
      <c r="I63" s="650">
        <f t="shared" si="18"/>
        <v>0</v>
      </c>
      <c r="J63" s="650">
        <v>27000</v>
      </c>
      <c r="K63" s="650">
        <f t="shared" si="20"/>
        <v>27000</v>
      </c>
      <c r="L63" s="650">
        <f t="shared" si="19"/>
        <v>27000</v>
      </c>
      <c r="M63" s="1188"/>
      <c r="N63" s="1167"/>
    </row>
    <row r="64" spans="1:14">
      <c r="A64" s="327"/>
      <c r="B64" s="1142" t="s">
        <v>231</v>
      </c>
      <c r="C64" s="692"/>
      <c r="D64" s="692"/>
      <c r="E64" s="603"/>
      <c r="F64" s="327"/>
      <c r="G64" s="1143"/>
      <c r="H64" s="650"/>
      <c r="I64" s="650"/>
      <c r="J64" s="650"/>
      <c r="K64" s="650"/>
      <c r="L64" s="650"/>
      <c r="M64" s="1188"/>
      <c r="N64" s="1167"/>
    </row>
    <row r="65" spans="1:14" ht="21">
      <c r="A65" s="327"/>
      <c r="B65" s="1267" t="s">
        <v>232</v>
      </c>
      <c r="C65" s="692"/>
      <c r="D65" s="692"/>
      <c r="E65" s="603"/>
      <c r="F65" s="327">
        <v>1</v>
      </c>
      <c r="G65" s="1143" t="s">
        <v>233</v>
      </c>
      <c r="H65" s="650">
        <v>15000</v>
      </c>
      <c r="I65" s="650">
        <f>F65*H65</f>
        <v>15000</v>
      </c>
      <c r="J65" s="650">
        <v>1500</v>
      </c>
      <c r="K65" s="650">
        <f t="shared" si="20"/>
        <v>1500</v>
      </c>
      <c r="L65" s="650">
        <f>I65+K65</f>
        <v>16500</v>
      </c>
      <c r="M65" s="1188"/>
      <c r="N65" s="1167"/>
    </row>
    <row r="66" spans="1:14">
      <c r="A66" s="327"/>
      <c r="B66" s="1142" t="s">
        <v>8</v>
      </c>
      <c r="C66" s="692"/>
      <c r="D66" s="692"/>
      <c r="E66" s="603"/>
      <c r="F66" s="327">
        <v>1</v>
      </c>
      <c r="G66" s="1143"/>
      <c r="H66" s="650">
        <v>4000</v>
      </c>
      <c r="I66" s="650">
        <f>F66*H66</f>
        <v>4000</v>
      </c>
      <c r="J66" s="650">
        <v>0</v>
      </c>
      <c r="K66" s="650">
        <f t="shared" si="20"/>
        <v>0</v>
      </c>
      <c r="L66" s="650">
        <f>I66+K66</f>
        <v>4000</v>
      </c>
      <c r="M66" s="1268"/>
      <c r="N66" s="1167"/>
    </row>
    <row r="67" spans="1:14" ht="20.399999999999999" customHeight="1">
      <c r="A67" s="1176"/>
      <c r="B67" s="1177"/>
      <c r="C67" s="1178"/>
      <c r="D67" s="1178"/>
      <c r="E67" s="1179" t="s">
        <v>214</v>
      </c>
      <c r="F67" s="1180"/>
      <c r="G67" s="1181"/>
      <c r="H67" s="1182"/>
      <c r="I67" s="1189">
        <f t="shared" ref="I67:L67" si="21">SUM(I50:I66)</f>
        <v>71805.714000000007</v>
      </c>
      <c r="J67" s="1189"/>
      <c r="K67" s="1190">
        <f t="shared" si="21"/>
        <v>45400</v>
      </c>
      <c r="L67" s="1189">
        <f t="shared" si="21"/>
        <v>117205.71400000001</v>
      </c>
      <c r="M67" s="1191"/>
      <c r="N67" s="1192"/>
    </row>
    <row r="68" spans="1:14" ht="20.399999999999999" customHeight="1">
      <c r="A68" s="595"/>
      <c r="B68" s="336"/>
      <c r="C68" s="591"/>
      <c r="D68" s="591"/>
      <c r="E68" s="598"/>
      <c r="F68" s="595"/>
      <c r="G68" s="1269"/>
      <c r="H68" s="688"/>
      <c r="I68" s="1196"/>
      <c r="J68" s="1196"/>
      <c r="K68" s="640"/>
      <c r="L68" s="1196"/>
      <c r="M68" s="1191"/>
      <c r="N68" s="1192"/>
    </row>
    <row r="69" spans="1:14" ht="20.399999999999999" customHeight="1">
      <c r="A69" s="595"/>
      <c r="B69" s="336"/>
      <c r="C69" s="591"/>
      <c r="D69" s="591"/>
      <c r="E69" s="598"/>
      <c r="F69" s="595"/>
      <c r="G69" s="1269"/>
      <c r="H69" s="688"/>
      <c r="I69" s="1196"/>
      <c r="J69" s="1196"/>
      <c r="K69" s="640"/>
      <c r="L69" s="1196"/>
      <c r="M69" s="1191"/>
      <c r="N69" s="1192"/>
    </row>
    <row r="70" spans="1:14" ht="20.399999999999999" customHeight="1">
      <c r="A70" s="595"/>
      <c r="B70" s="336"/>
      <c r="C70" s="591"/>
      <c r="D70" s="591"/>
      <c r="E70" s="598"/>
      <c r="F70" s="595"/>
      <c r="G70" s="1269"/>
      <c r="H70" s="688"/>
      <c r="I70" s="1196"/>
      <c r="J70" s="1196"/>
      <c r="K70" s="640"/>
      <c r="L70" s="1196"/>
      <c r="M70" s="1191"/>
      <c r="N70" s="1192"/>
    </row>
    <row r="71" spans="1:14" ht="20.399999999999999" customHeight="1">
      <c r="A71" s="595"/>
      <c r="B71" s="336"/>
      <c r="C71" s="591"/>
      <c r="D71" s="591"/>
      <c r="E71" s="598"/>
      <c r="F71" s="595"/>
      <c r="G71" s="1269"/>
      <c r="H71" s="688"/>
      <c r="I71" s="1196"/>
      <c r="J71" s="1196"/>
      <c r="K71" s="640"/>
      <c r="L71" s="1196"/>
      <c r="M71" s="1191"/>
      <c r="N71" s="1192"/>
    </row>
    <row r="72" spans="1:14" ht="20.399999999999999" customHeight="1">
      <c r="A72" s="595"/>
      <c r="B72" s="336"/>
      <c r="C72" s="591"/>
      <c r="D72" s="591"/>
      <c r="E72" s="598"/>
      <c r="F72" s="595"/>
      <c r="G72" s="1269"/>
      <c r="H72" s="688"/>
      <c r="I72" s="1196"/>
      <c r="J72" s="1196"/>
      <c r="K72" s="640"/>
      <c r="L72" s="1196"/>
      <c r="M72" s="1191"/>
      <c r="N72" s="1192"/>
    </row>
    <row r="73" spans="1:14" ht="20.399999999999999" customHeight="1">
      <c r="A73" s="595"/>
      <c r="B73" s="336"/>
      <c r="C73" s="591"/>
      <c r="D73" s="591"/>
      <c r="E73" s="598"/>
      <c r="F73" s="595"/>
      <c r="G73" s="1269"/>
      <c r="H73" s="688"/>
      <c r="I73" s="1196"/>
      <c r="J73" s="1196"/>
      <c r="K73" s="640"/>
      <c r="L73" s="1196"/>
      <c r="M73" s="1191"/>
      <c r="N73" s="1192"/>
    </row>
    <row r="74" spans="1:14" ht="20.399999999999999" customHeight="1">
      <c r="A74" s="595"/>
      <c r="B74" s="336"/>
      <c r="C74" s="591"/>
      <c r="D74" s="591"/>
      <c r="E74" s="598"/>
      <c r="F74" s="595"/>
      <c r="G74" s="1269"/>
      <c r="H74" s="688"/>
      <c r="I74" s="1196"/>
      <c r="J74" s="1196"/>
      <c r="K74" s="640"/>
      <c r="L74" s="1196"/>
      <c r="M74" s="1191"/>
      <c r="N74" s="1192"/>
    </row>
    <row r="75" spans="1:14" ht="20.399999999999999" customHeight="1">
      <c r="A75" s="595"/>
      <c r="B75" s="336"/>
      <c r="C75" s="591"/>
      <c r="D75" s="591"/>
      <c r="E75" s="598"/>
      <c r="F75" s="595"/>
      <c r="G75" s="1269"/>
      <c r="H75" s="688"/>
      <c r="I75" s="1196"/>
      <c r="J75" s="1196"/>
      <c r="K75" s="640"/>
      <c r="L75" s="1196"/>
      <c r="M75" s="1191"/>
      <c r="N75" s="1192"/>
    </row>
    <row r="76" spans="1:14" ht="20.399999999999999" customHeight="1">
      <c r="A76" s="595"/>
      <c r="B76" s="336"/>
      <c r="C76" s="591"/>
      <c r="D76" s="591"/>
      <c r="E76" s="598"/>
      <c r="F76" s="595"/>
      <c r="G76" s="1269"/>
      <c r="H76" s="688"/>
      <c r="I76" s="1196"/>
      <c r="J76" s="1196"/>
      <c r="K76" s="640"/>
      <c r="L76" s="1196"/>
      <c r="M76" s="1191"/>
      <c r="N76" s="1192"/>
    </row>
    <row r="77" spans="1:14" ht="20.399999999999999" customHeight="1">
      <c r="A77" s="595"/>
      <c r="B77" s="336"/>
      <c r="C77" s="591"/>
      <c r="D77" s="591"/>
      <c r="E77" s="598"/>
      <c r="F77" s="595"/>
      <c r="G77" s="1269"/>
      <c r="H77" s="688"/>
      <c r="I77" s="1196"/>
      <c r="J77" s="1196"/>
      <c r="K77" s="640"/>
      <c r="L77" s="1196"/>
      <c r="M77" s="1191"/>
      <c r="N77" s="1192"/>
    </row>
    <row r="78" spans="1:14" ht="20.399999999999999" customHeight="1">
      <c r="A78" s="595"/>
      <c r="B78" s="336"/>
      <c r="C78" s="591"/>
      <c r="D78" s="591"/>
      <c r="E78" s="598"/>
      <c r="F78" s="595"/>
      <c r="G78" s="1269"/>
      <c r="H78" s="688"/>
      <c r="I78" s="1196"/>
      <c r="J78" s="1196"/>
      <c r="K78" s="640"/>
      <c r="L78" s="1196"/>
      <c r="M78" s="1191"/>
      <c r="N78" s="1192"/>
    </row>
    <row r="79" spans="1:14" ht="20.399999999999999" customHeight="1">
      <c r="A79" s="595"/>
      <c r="B79" s="336"/>
      <c r="C79" s="591"/>
      <c r="D79" s="591"/>
      <c r="E79" s="598"/>
      <c r="F79" s="595"/>
      <c r="G79" s="1269"/>
      <c r="H79" s="688"/>
      <c r="I79" s="1196"/>
      <c r="J79" s="1196"/>
      <c r="K79" s="640"/>
      <c r="L79" s="1196"/>
      <c r="M79" s="1191"/>
      <c r="N79" s="1192"/>
    </row>
    <row r="80" spans="1:14" ht="20.399999999999999" customHeight="1">
      <c r="A80" s="595"/>
      <c r="B80" s="336"/>
      <c r="C80" s="591"/>
      <c r="D80" s="591"/>
      <c r="E80" s="598"/>
      <c r="F80" s="595"/>
      <c r="G80" s="1269"/>
      <c r="H80" s="688"/>
      <c r="I80" s="1196"/>
      <c r="J80" s="1196"/>
      <c r="K80" s="640"/>
      <c r="L80" s="1196"/>
      <c r="M80" s="1191"/>
      <c r="N80" s="1192"/>
    </row>
    <row r="81" spans="1:14" ht="20.399999999999999" customHeight="1">
      <c r="A81" s="595"/>
      <c r="B81" s="336"/>
      <c r="C81" s="591"/>
      <c r="D81" s="591"/>
      <c r="E81" s="598"/>
      <c r="F81" s="595"/>
      <c r="G81" s="1269"/>
      <c r="H81" s="688"/>
      <c r="I81" s="1196"/>
      <c r="J81" s="1196"/>
      <c r="K81" s="640"/>
      <c r="L81" s="1196"/>
      <c r="M81" s="1191"/>
      <c r="N81" s="1192"/>
    </row>
    <row r="82" spans="1:14" ht="20.399999999999999" customHeight="1">
      <c r="A82" s="595"/>
      <c r="B82" s="336"/>
      <c r="C82" s="591"/>
      <c r="D82" s="591"/>
      <c r="E82" s="598"/>
      <c r="F82" s="595"/>
      <c r="G82" s="1269"/>
      <c r="H82" s="688"/>
      <c r="I82" s="1196"/>
      <c r="J82" s="1196"/>
      <c r="K82" s="640"/>
      <c r="L82" s="1196"/>
      <c r="M82" s="1191"/>
      <c r="N82" s="1192"/>
    </row>
    <row r="83" spans="1:14" ht="20.399999999999999" customHeight="1">
      <c r="A83" s="1934" t="s">
        <v>164</v>
      </c>
      <c r="B83" s="1934"/>
      <c r="C83" s="1934"/>
      <c r="D83" s="1934"/>
      <c r="E83" s="1934"/>
      <c r="F83" s="1934"/>
      <c r="G83" s="1934"/>
      <c r="H83" s="1934"/>
      <c r="I83" s="1934"/>
      <c r="J83" s="1934"/>
      <c r="K83" s="1934"/>
      <c r="L83" s="596"/>
    </row>
    <row r="84" spans="1:14" ht="20.399999999999999" customHeight="1">
      <c r="A84" s="595"/>
      <c r="B84" s="592" t="s">
        <v>165</v>
      </c>
      <c r="C84" s="592"/>
      <c r="D84" s="336" t="str">
        <f>D2</f>
        <v>ย้ายหอถังประปาจากศาลาประชาคมไปวัดสุทธาราม แบบหอถังสูง ขนาด 10 ลบ.ม. ขนาด 3.60x3.60 เมตร สูง 11 เมตร</v>
      </c>
      <c r="E84" s="336"/>
      <c r="F84" s="592"/>
      <c r="G84" s="1196"/>
      <c r="H84" s="1196"/>
      <c r="I84" s="1196"/>
      <c r="J84" s="1196"/>
      <c r="K84" s="1196"/>
      <c r="L84" s="592"/>
    </row>
    <row r="85" spans="1:14" ht="20.399999999999999" customHeight="1">
      <c r="A85" s="595"/>
      <c r="B85" s="592" t="s">
        <v>168</v>
      </c>
      <c r="C85" s="592"/>
      <c r="D85" s="336" t="str">
        <f t="shared" ref="D85:D87" si="22">D4</f>
        <v>บ้านหนองสะหนาย หมู่ที่ 3</v>
      </c>
      <c r="E85" s="336"/>
      <c r="F85" s="592"/>
      <c r="G85" s="1196"/>
      <c r="H85" s="1196"/>
      <c r="I85" s="1196"/>
      <c r="J85" s="1196"/>
      <c r="K85" s="1196"/>
      <c r="L85" s="592"/>
    </row>
    <row r="86" spans="1:14" ht="20.399999999999999" customHeight="1">
      <c r="A86" s="595"/>
      <c r="B86" s="592" t="s">
        <v>170</v>
      </c>
      <c r="C86" s="592"/>
      <c r="D86" s="336" t="str">
        <f t="shared" si="22"/>
        <v>เทศบาลตำบลหนองไผ่  ตำบลหนองไผ่  อำเภอหนองหาน  จังหวัดอุดรธานี</v>
      </c>
      <c r="E86" s="336"/>
      <c r="F86" s="592"/>
      <c r="G86" s="592"/>
      <c r="H86" s="1196"/>
      <c r="I86" s="1442"/>
      <c r="J86" s="1196"/>
      <c r="K86" s="1196"/>
      <c r="L86" s="592"/>
    </row>
    <row r="87" spans="1:14" ht="20.399999999999999" customHeight="1">
      <c r="A87" s="1413"/>
      <c r="B87" s="1414" t="s">
        <v>172</v>
      </c>
      <c r="C87" s="1415"/>
      <c r="D87" s="336" t="str">
        <f t="shared" si="22"/>
        <v>วันที่ 15  เดือน  มิถุนายน  พ.ศ. 2560</v>
      </c>
      <c r="E87" s="336"/>
      <c r="F87" s="1415"/>
      <c r="G87" s="1415"/>
      <c r="H87" s="1414"/>
      <c r="I87" s="1415"/>
      <c r="J87" s="1443"/>
      <c r="K87" s="1415"/>
      <c r="L87" s="592"/>
    </row>
    <row r="88" spans="1:14" ht="20.399999999999999" customHeight="1">
      <c r="A88" s="1940" t="s">
        <v>174</v>
      </c>
      <c r="B88" s="1943" t="s">
        <v>96</v>
      </c>
      <c r="C88" s="1949"/>
      <c r="D88" s="1949"/>
      <c r="E88" s="1950"/>
      <c r="F88" s="1936" t="s">
        <v>175</v>
      </c>
      <c r="G88" s="1937"/>
      <c r="H88" s="1936" t="s">
        <v>176</v>
      </c>
      <c r="I88" s="1937"/>
      <c r="J88" s="1936" t="s">
        <v>177</v>
      </c>
      <c r="K88" s="1937"/>
      <c r="L88" s="1940" t="s">
        <v>178</v>
      </c>
    </row>
    <row r="89" spans="1:14" ht="20.399999999999999" customHeight="1">
      <c r="A89" s="1941"/>
      <c r="B89" s="1951"/>
      <c r="C89" s="1952"/>
      <c r="D89" s="1952"/>
      <c r="E89" s="1953"/>
      <c r="F89" s="1419" t="s">
        <v>179</v>
      </c>
      <c r="G89" s="1419" t="s">
        <v>11</v>
      </c>
      <c r="H89" s="1420" t="s">
        <v>180</v>
      </c>
      <c r="I89" s="1420" t="s">
        <v>181</v>
      </c>
      <c r="J89" s="1420" t="s">
        <v>180</v>
      </c>
      <c r="K89" s="1420" t="s">
        <v>181</v>
      </c>
      <c r="L89" s="1941"/>
    </row>
    <row r="90" spans="1:14">
      <c r="A90" s="1138">
        <v>1</v>
      </c>
      <c r="B90" s="1174" t="s">
        <v>234</v>
      </c>
      <c r="C90" s="692"/>
      <c r="D90" s="692"/>
      <c r="E90" s="603"/>
      <c r="F90" s="327"/>
      <c r="G90" s="1143"/>
      <c r="H90" s="604"/>
      <c r="I90" s="650"/>
      <c r="J90" s="604"/>
      <c r="K90" s="650"/>
      <c r="L90" s="650"/>
      <c r="M90" s="1162"/>
      <c r="N90" s="1162"/>
    </row>
    <row r="91" spans="1:14" ht="20.399999999999999" customHeight="1">
      <c r="A91" s="327"/>
      <c r="B91" s="1142" t="s">
        <v>235</v>
      </c>
      <c r="C91" s="692"/>
      <c r="D91" s="692"/>
      <c r="E91" s="603"/>
      <c r="F91" s="327"/>
      <c r="G91" s="1143"/>
      <c r="H91" s="604"/>
      <c r="I91" s="650">
        <f t="shared" ref="I91:I94" si="23">F91*H91</f>
        <v>0</v>
      </c>
      <c r="J91" s="604">
        <v>0</v>
      </c>
      <c r="K91" s="650">
        <f t="shared" ref="K91:K94" si="24">F91*J91</f>
        <v>0</v>
      </c>
      <c r="L91" s="650">
        <f t="shared" ref="L91:L94" si="25">I91+K91</f>
        <v>0</v>
      </c>
    </row>
    <row r="92" spans="1:14">
      <c r="A92" s="327"/>
      <c r="B92" s="1142" t="s">
        <v>236</v>
      </c>
      <c r="C92" s="692"/>
      <c r="D92" s="692"/>
      <c r="E92" s="603"/>
      <c r="F92" s="327">
        <v>1</v>
      </c>
      <c r="G92" s="1143" t="s">
        <v>237</v>
      </c>
      <c r="H92" s="604">
        <v>15000</v>
      </c>
      <c r="I92" s="650">
        <f t="shared" si="23"/>
        <v>15000</v>
      </c>
      <c r="J92" s="604">
        <v>45000</v>
      </c>
      <c r="K92" s="650">
        <f t="shared" si="24"/>
        <v>45000</v>
      </c>
      <c r="L92" s="650">
        <f t="shared" si="25"/>
        <v>60000</v>
      </c>
      <c r="M92" s="1162"/>
      <c r="N92" s="1162"/>
    </row>
    <row r="93" spans="1:14">
      <c r="A93" s="327"/>
      <c r="B93" s="1142"/>
      <c r="C93" s="692"/>
      <c r="D93" s="692"/>
      <c r="E93" s="603"/>
      <c r="F93" s="327"/>
      <c r="G93" s="1143"/>
      <c r="H93" s="604"/>
      <c r="I93" s="650">
        <f t="shared" si="23"/>
        <v>0</v>
      </c>
      <c r="J93" s="604">
        <v>0</v>
      </c>
      <c r="K93" s="650">
        <f t="shared" si="24"/>
        <v>0</v>
      </c>
      <c r="L93" s="650">
        <f t="shared" si="25"/>
        <v>0</v>
      </c>
      <c r="M93" s="1162"/>
      <c r="N93" s="1162"/>
    </row>
    <row r="94" spans="1:14">
      <c r="A94" s="1447"/>
      <c r="B94" s="1448"/>
      <c r="C94" s="1449"/>
      <c r="D94" s="1449"/>
      <c r="E94" s="655"/>
      <c r="F94" s="1447"/>
      <c r="G94" s="1450"/>
      <c r="H94" s="983"/>
      <c r="I94" s="982">
        <f t="shared" si="23"/>
        <v>0</v>
      </c>
      <c r="J94" s="983">
        <v>0</v>
      </c>
      <c r="K94" s="982">
        <f t="shared" si="24"/>
        <v>0</v>
      </c>
      <c r="L94" s="982">
        <f t="shared" si="25"/>
        <v>0</v>
      </c>
      <c r="M94" s="1162"/>
      <c r="N94" s="1162"/>
    </row>
    <row r="95" spans="1:14" ht="20.399999999999999" customHeight="1">
      <c r="A95" s="1451"/>
      <c r="B95" s="1417"/>
      <c r="C95" s="1452"/>
      <c r="D95" s="1453" t="s">
        <v>238</v>
      </c>
      <c r="E95" s="632"/>
      <c r="F95" s="1454"/>
      <c r="G95" s="1455"/>
      <c r="H95" s="1455"/>
      <c r="I95" s="1457">
        <f t="shared" ref="I95:L95" si="26">SUM(I90:I94)</f>
        <v>15000</v>
      </c>
      <c r="J95" s="1457">
        <v>0</v>
      </c>
      <c r="K95" s="1457">
        <f t="shared" si="26"/>
        <v>45000</v>
      </c>
      <c r="L95" s="1457">
        <f t="shared" si="26"/>
        <v>60000</v>
      </c>
    </row>
    <row r="96" spans="1:14" ht="20.399999999999999" customHeight="1">
      <c r="J96" s="1458"/>
      <c r="L96" s="1412"/>
    </row>
    <row r="97" spans="1:12" ht="20.399999999999999" customHeight="1">
      <c r="C97" s="592"/>
      <c r="D97" s="336"/>
      <c r="E97" s="336"/>
      <c r="J97" s="1458"/>
      <c r="L97" s="1412"/>
    </row>
    <row r="98" spans="1:12" ht="20.399999999999999" customHeight="1">
      <c r="A98" s="336"/>
      <c r="B98" s="336"/>
      <c r="C98" s="336"/>
      <c r="D98" s="336"/>
      <c r="E98" s="336"/>
      <c r="F98" s="1162"/>
      <c r="G98" s="1188"/>
      <c r="H98" s="1188"/>
      <c r="I98" s="1188"/>
      <c r="J98" s="1188"/>
      <c r="K98" s="1162"/>
      <c r="L98" s="1162"/>
    </row>
    <row r="99" spans="1:12" ht="20.399999999999999" customHeight="1">
      <c r="A99" s="336"/>
      <c r="B99" s="336"/>
      <c r="C99" s="336"/>
      <c r="D99" s="336"/>
      <c r="E99" s="336"/>
      <c r="F99" s="1162"/>
      <c r="G99" s="1188"/>
      <c r="H99" s="1188"/>
      <c r="I99" s="1188"/>
      <c r="J99" s="1188"/>
      <c r="K99" s="1162"/>
      <c r="L99" s="1162"/>
    </row>
    <row r="100" spans="1:12" ht="20.399999999999999" customHeight="1">
      <c r="A100" s="336"/>
      <c r="B100" s="336"/>
      <c r="C100" s="336"/>
      <c r="D100" s="336"/>
      <c r="E100" s="336"/>
      <c r="F100" s="336"/>
      <c r="G100" s="336"/>
      <c r="H100" s="336"/>
      <c r="I100" s="336"/>
      <c r="J100" s="1188"/>
      <c r="K100" s="1162"/>
      <c r="L100" s="1162"/>
    </row>
    <row r="101" spans="1:12" ht="20.399999999999999" customHeight="1">
      <c r="A101" s="336"/>
      <c r="B101" s="336"/>
      <c r="C101" s="336"/>
      <c r="D101" s="336"/>
      <c r="E101" s="336"/>
      <c r="F101" s="1162"/>
      <c r="G101" s="1188"/>
      <c r="H101" s="336"/>
      <c r="I101" s="1188"/>
      <c r="J101" s="336"/>
      <c r="K101" s="336"/>
      <c r="L101" s="1188"/>
    </row>
    <row r="102" spans="1:12" ht="20.399999999999999" customHeight="1">
      <c r="A102" s="336"/>
      <c r="B102" s="1456"/>
      <c r="C102" s="336"/>
      <c r="D102" s="336"/>
      <c r="E102" s="336"/>
      <c r="F102" s="1162"/>
      <c r="G102" s="1188"/>
      <c r="H102" s="336"/>
      <c r="I102" s="1188"/>
      <c r="J102" s="336"/>
      <c r="K102" s="336"/>
      <c r="L102" s="1188"/>
    </row>
    <row r="103" spans="1:12" ht="20.399999999999999" customHeight="1">
      <c r="A103" s="1191"/>
      <c r="B103" s="597"/>
      <c r="C103" s="336"/>
      <c r="D103" s="336"/>
      <c r="E103" s="336"/>
      <c r="F103" s="1162"/>
      <c r="G103" s="1188"/>
      <c r="H103" s="336"/>
      <c r="I103" s="1188"/>
      <c r="J103" s="336"/>
      <c r="K103" s="336"/>
      <c r="L103" s="1188"/>
    </row>
    <row r="104" spans="1:12" ht="20.399999999999999" customHeight="1">
      <c r="A104" s="1191"/>
      <c r="B104" s="1162"/>
      <c r="C104" s="336"/>
      <c r="D104" s="336"/>
      <c r="E104" s="336"/>
      <c r="F104" s="1162"/>
      <c r="G104" s="1188"/>
      <c r="H104" s="336"/>
      <c r="I104" s="1188"/>
      <c r="J104" s="336"/>
      <c r="K104" s="336"/>
      <c r="L104" s="1188"/>
    </row>
    <row r="105" spans="1:12" ht="20.399999999999999" customHeight="1">
      <c r="A105" s="336"/>
      <c r="B105" s="336"/>
      <c r="C105" s="336"/>
      <c r="D105" s="336"/>
      <c r="E105" s="336"/>
      <c r="F105" s="1162"/>
      <c r="G105" s="1188"/>
      <c r="H105" s="336"/>
      <c r="I105" s="1188"/>
      <c r="J105" s="336"/>
      <c r="K105" s="336"/>
      <c r="L105" s="1162"/>
    </row>
    <row r="106" spans="1:12" ht="20.399999999999999" customHeight="1">
      <c r="A106" s="336"/>
      <c r="B106" s="336"/>
      <c r="C106" s="336"/>
      <c r="D106" s="336"/>
      <c r="E106" s="336"/>
      <c r="F106" s="1162"/>
      <c r="G106" s="1188"/>
      <c r="H106" s="336"/>
      <c r="I106" s="1188"/>
      <c r="J106" s="336"/>
      <c r="K106" s="336"/>
      <c r="L106" s="1162"/>
    </row>
    <row r="107" spans="1:12" ht="20.399999999999999" customHeight="1">
      <c r="C107" s="336"/>
      <c r="D107" s="336"/>
      <c r="E107" s="336"/>
    </row>
    <row r="108" spans="1:12" ht="20.399999999999999" customHeight="1">
      <c r="C108" s="336"/>
      <c r="D108" s="336"/>
      <c r="E108" s="336"/>
    </row>
    <row r="109" spans="1:12" ht="20.399999999999999" customHeight="1">
      <c r="C109" s="336"/>
      <c r="D109" s="336"/>
      <c r="E109" s="336"/>
    </row>
    <row r="125" spans="1:12" ht="20.399999999999999" customHeight="1">
      <c r="A125" s="1935" t="s">
        <v>164</v>
      </c>
      <c r="B125" s="1935"/>
      <c r="C125" s="1935"/>
      <c r="D125" s="1935"/>
      <c r="E125" s="1935"/>
      <c r="F125" s="1935"/>
      <c r="G125" s="1935"/>
      <c r="H125" s="1935"/>
      <c r="I125" s="1935"/>
      <c r="J125" s="1935"/>
      <c r="K125" s="1935"/>
      <c r="L125" s="596"/>
    </row>
    <row r="126" spans="1:12" ht="20.399999999999999" customHeight="1">
      <c r="A126" s="595"/>
      <c r="B126" s="592" t="s">
        <v>165</v>
      </c>
      <c r="C126" s="592"/>
      <c r="D126" s="336" t="str">
        <f>D2</f>
        <v>ย้ายหอถังประปาจากศาลาประชาคมไปวัดสุทธาราม แบบหอถังสูง ขนาด 10 ลบ.ม. ขนาด 3.60x3.60 เมตร สูง 11 เมตร</v>
      </c>
      <c r="E126" s="336"/>
      <c r="F126" s="592"/>
      <c r="G126" s="1196"/>
      <c r="H126" s="1196"/>
      <c r="I126" s="1196"/>
      <c r="J126" s="1196"/>
      <c r="K126" s="1196"/>
      <c r="L126" s="592"/>
    </row>
    <row r="127" spans="1:12" ht="20.399999999999999" customHeight="1">
      <c r="A127" s="595"/>
      <c r="B127" s="592" t="s">
        <v>168</v>
      </c>
      <c r="C127" s="592"/>
      <c r="D127" s="336" t="str">
        <f t="shared" ref="D127:D129" si="27">D4</f>
        <v>บ้านหนองสะหนาย หมู่ที่ 3</v>
      </c>
      <c r="E127" s="336"/>
      <c r="F127" s="592"/>
      <c r="G127" s="1196"/>
      <c r="H127" s="1196"/>
      <c r="I127" s="1196"/>
      <c r="J127" s="1196"/>
      <c r="K127" s="1196"/>
      <c r="L127" s="592"/>
    </row>
    <row r="128" spans="1:12" ht="20.399999999999999" customHeight="1">
      <c r="A128" s="595"/>
      <c r="B128" s="592" t="s">
        <v>170</v>
      </c>
      <c r="C128" s="592"/>
      <c r="D128" s="336" t="str">
        <f t="shared" si="27"/>
        <v>เทศบาลตำบลหนองไผ่  ตำบลหนองไผ่  อำเภอหนองหาน  จังหวัดอุดรธานี</v>
      </c>
      <c r="E128" s="336"/>
      <c r="F128" s="592"/>
      <c r="G128" s="592"/>
      <c r="H128" s="1196"/>
      <c r="I128" s="1442"/>
      <c r="J128" s="1196"/>
      <c r="K128" s="1196"/>
      <c r="L128" s="592"/>
    </row>
    <row r="129" spans="1:12" ht="20.399999999999999" customHeight="1">
      <c r="A129" s="1413"/>
      <c r="B129" s="1414" t="s">
        <v>172</v>
      </c>
      <c r="C129" s="1415"/>
      <c r="D129" s="336" t="str">
        <f t="shared" si="27"/>
        <v>วันที่ 15  เดือน  มิถุนายน  พ.ศ. 2560</v>
      </c>
      <c r="E129" s="336"/>
      <c r="F129" s="1415"/>
      <c r="G129" s="1415"/>
      <c r="H129" s="1414"/>
      <c r="I129" s="1415"/>
      <c r="J129" s="1443"/>
      <c r="K129" s="1415"/>
      <c r="L129" s="592"/>
    </row>
    <row r="130" spans="1:12" ht="20.399999999999999" customHeight="1">
      <c r="A130" s="1940" t="s">
        <v>174</v>
      </c>
      <c r="B130" s="1943" t="s">
        <v>96</v>
      </c>
      <c r="C130" s="1949"/>
      <c r="D130" s="1949"/>
      <c r="E130" s="1950"/>
      <c r="F130" s="1936" t="s">
        <v>175</v>
      </c>
      <c r="G130" s="1937"/>
      <c r="H130" s="1936" t="s">
        <v>176</v>
      </c>
      <c r="I130" s="1937"/>
      <c r="J130" s="1936" t="s">
        <v>177</v>
      </c>
      <c r="K130" s="1937"/>
      <c r="L130" s="1940" t="s">
        <v>178</v>
      </c>
    </row>
    <row r="131" spans="1:12" ht="20.399999999999999" customHeight="1">
      <c r="A131" s="1941"/>
      <c r="B131" s="1951"/>
      <c r="C131" s="1952"/>
      <c r="D131" s="1952"/>
      <c r="E131" s="1953"/>
      <c r="F131" s="1419" t="s">
        <v>179</v>
      </c>
      <c r="G131" s="1419" t="s">
        <v>11</v>
      </c>
      <c r="H131" s="1420" t="s">
        <v>180</v>
      </c>
      <c r="I131" s="1420" t="s">
        <v>181</v>
      </c>
      <c r="J131" s="1420" t="s">
        <v>180</v>
      </c>
      <c r="K131" s="1420" t="s">
        <v>181</v>
      </c>
      <c r="L131" s="1941"/>
    </row>
    <row r="132" spans="1:12" ht="20.399999999999999" customHeight="1">
      <c r="A132" s="1425"/>
      <c r="B132" s="1459"/>
      <c r="C132" s="1440"/>
      <c r="D132" s="1423"/>
      <c r="E132" s="1424"/>
      <c r="F132" s="1425"/>
      <c r="G132" s="1426"/>
      <c r="H132" s="1427">
        <v>0</v>
      </c>
      <c r="I132" s="1446">
        <f t="shared" ref="I132:L132" si="28">I122</f>
        <v>0</v>
      </c>
      <c r="J132" s="1427">
        <v>0</v>
      </c>
      <c r="K132" s="1446">
        <f t="shared" si="28"/>
        <v>0</v>
      </c>
      <c r="L132" s="1446">
        <f t="shared" si="28"/>
        <v>0</v>
      </c>
    </row>
    <row r="133" spans="1:12" ht="20.399999999999999" customHeight="1">
      <c r="A133" s="327">
        <v>1</v>
      </c>
      <c r="B133" s="1142" t="s">
        <v>239</v>
      </c>
      <c r="C133" s="692"/>
      <c r="D133" s="692"/>
      <c r="E133" s="603"/>
      <c r="F133" s="327"/>
      <c r="G133" s="1143"/>
      <c r="H133" s="650">
        <v>0</v>
      </c>
      <c r="I133" s="650">
        <f t="shared" ref="I133:I137" si="29">F133*H133</f>
        <v>0</v>
      </c>
      <c r="J133" s="650">
        <v>0</v>
      </c>
      <c r="K133" s="650">
        <f t="shared" ref="K133:K137" si="30">F133*J133</f>
        <v>0</v>
      </c>
      <c r="L133" s="650">
        <f t="shared" ref="L133:L137" si="31">I133+K133</f>
        <v>0</v>
      </c>
    </row>
    <row r="134" spans="1:12" ht="20.399999999999999" customHeight="1">
      <c r="A134" s="327"/>
      <c r="B134" s="1142" t="s">
        <v>240</v>
      </c>
      <c r="C134" s="692"/>
      <c r="D134" s="692"/>
      <c r="E134" s="603"/>
      <c r="F134" s="327">
        <v>9</v>
      </c>
      <c r="G134" s="1143" t="s">
        <v>78</v>
      </c>
      <c r="H134" s="650">
        <v>0</v>
      </c>
      <c r="I134" s="650">
        <f t="shared" si="29"/>
        <v>0</v>
      </c>
      <c r="J134" s="650">
        <v>0</v>
      </c>
      <c r="K134" s="650">
        <f t="shared" si="30"/>
        <v>0</v>
      </c>
      <c r="L134" s="650">
        <f t="shared" si="31"/>
        <v>0</v>
      </c>
    </row>
    <row r="135" spans="1:12" ht="20.399999999999999" customHeight="1">
      <c r="A135" s="327"/>
      <c r="B135" s="1142"/>
      <c r="C135" s="692"/>
      <c r="D135" s="692"/>
      <c r="E135" s="603"/>
      <c r="F135" s="327"/>
      <c r="G135" s="1143"/>
      <c r="H135" s="650">
        <v>0</v>
      </c>
      <c r="I135" s="650">
        <f t="shared" si="29"/>
        <v>0</v>
      </c>
      <c r="J135" s="650">
        <v>0</v>
      </c>
      <c r="K135" s="650">
        <f t="shared" si="30"/>
        <v>0</v>
      </c>
      <c r="L135" s="650">
        <f t="shared" si="31"/>
        <v>0</v>
      </c>
    </row>
    <row r="136" spans="1:12" ht="20.399999999999999" customHeight="1">
      <c r="A136" s="327"/>
      <c r="B136" s="1142"/>
      <c r="C136" s="692"/>
      <c r="D136" s="692"/>
      <c r="E136" s="603"/>
      <c r="F136" s="327"/>
      <c r="G136" s="1143"/>
      <c r="H136" s="650">
        <v>0</v>
      </c>
      <c r="I136" s="650">
        <f t="shared" si="29"/>
        <v>0</v>
      </c>
      <c r="J136" s="650">
        <v>0</v>
      </c>
      <c r="K136" s="650">
        <f t="shared" si="30"/>
        <v>0</v>
      </c>
      <c r="L136" s="650">
        <f t="shared" si="31"/>
        <v>0</v>
      </c>
    </row>
    <row r="137" spans="1:12" ht="20.399999999999999" customHeight="1">
      <c r="A137" s="1447"/>
      <c r="B137" s="1448"/>
      <c r="C137" s="1449"/>
      <c r="D137" s="1449"/>
      <c r="E137" s="655"/>
      <c r="F137" s="1447"/>
      <c r="G137" s="1460"/>
      <c r="H137" s="982">
        <v>0</v>
      </c>
      <c r="I137" s="982">
        <f t="shared" si="29"/>
        <v>0</v>
      </c>
      <c r="J137" s="982"/>
      <c r="K137" s="982">
        <f t="shared" si="30"/>
        <v>0</v>
      </c>
      <c r="L137" s="982">
        <f t="shared" si="31"/>
        <v>0</v>
      </c>
    </row>
    <row r="138" spans="1:12" ht="20.399999999999999" customHeight="1">
      <c r="A138" s="1461"/>
      <c r="B138" s="1417"/>
      <c r="C138" s="1452"/>
      <c r="D138" s="1453" t="s">
        <v>238</v>
      </c>
      <c r="E138" s="632"/>
      <c r="F138" s="1454"/>
      <c r="G138" s="1455"/>
      <c r="H138" s="1455"/>
      <c r="I138" s="1457">
        <f t="shared" ref="I138:L138" si="32">SUM(I132:I137)</f>
        <v>0</v>
      </c>
      <c r="J138" s="1457"/>
      <c r="K138" s="1457">
        <f t="shared" si="32"/>
        <v>0</v>
      </c>
      <c r="L138" s="1457">
        <f t="shared" si="32"/>
        <v>0</v>
      </c>
    </row>
    <row r="139" spans="1:12" ht="20.399999999999999" customHeight="1">
      <c r="J139" s="1458"/>
      <c r="L139" s="1412"/>
    </row>
    <row r="140" spans="1:12" ht="20.399999999999999" customHeight="1">
      <c r="J140" s="1458"/>
      <c r="L140" s="1412"/>
    </row>
    <row r="141" spans="1:12" ht="20.399999999999999" customHeight="1">
      <c r="J141" s="1458"/>
      <c r="L141" s="1412"/>
    </row>
    <row r="142" spans="1:12" ht="20.399999999999999" customHeight="1">
      <c r="A142" s="336" t="s">
        <v>241</v>
      </c>
      <c r="B142" s="336"/>
      <c r="C142" s="336"/>
      <c r="D142" s="691"/>
      <c r="E142" s="1162"/>
      <c r="F142" s="1162"/>
      <c r="G142" s="1188"/>
      <c r="H142" s="1188"/>
      <c r="I142" s="1188"/>
      <c r="J142" s="1188"/>
      <c r="K142" s="1162"/>
      <c r="L142" s="1162"/>
    </row>
    <row r="143" spans="1:12" ht="20.399999999999999" customHeight="1">
      <c r="A143" s="336" t="s">
        <v>242</v>
      </c>
      <c r="B143" s="336"/>
      <c r="C143" s="336"/>
      <c r="D143" s="1108"/>
      <c r="E143" s="1162"/>
      <c r="F143" s="1162"/>
      <c r="G143" s="1188"/>
      <c r="H143" s="1188"/>
      <c r="I143" s="1188"/>
      <c r="J143" s="1188"/>
      <c r="K143" s="1162"/>
      <c r="L143" s="1162"/>
    </row>
    <row r="144" spans="1:12" ht="20.399999999999999" customHeight="1">
      <c r="A144" s="336" t="s">
        <v>243</v>
      </c>
      <c r="B144" s="336"/>
      <c r="C144" s="336"/>
      <c r="D144" s="336"/>
      <c r="E144" s="336"/>
      <c r="F144" s="336"/>
      <c r="G144" s="336"/>
      <c r="H144" s="336"/>
      <c r="I144" s="336"/>
      <c r="J144" s="1188"/>
      <c r="K144" s="1162"/>
      <c r="L144" s="1162"/>
    </row>
    <row r="145" spans="1:16" ht="20.399999999999999" customHeight="1">
      <c r="A145" s="336" t="s">
        <v>244</v>
      </c>
      <c r="B145" s="336"/>
      <c r="C145" s="336"/>
      <c r="D145" s="336"/>
      <c r="E145" s="1162"/>
      <c r="F145" s="1162"/>
      <c r="G145" s="1188"/>
      <c r="H145" s="336" t="s">
        <v>245</v>
      </c>
      <c r="I145" s="1188"/>
      <c r="J145" s="336"/>
      <c r="K145" s="336"/>
      <c r="L145" s="1188"/>
    </row>
    <row r="146" spans="1:16" ht="20.399999999999999" customHeight="1">
      <c r="A146" s="336" t="s">
        <v>246</v>
      </c>
      <c r="B146" s="1456"/>
      <c r="C146" s="336"/>
      <c r="D146" s="336"/>
      <c r="E146" s="1162"/>
      <c r="F146" s="1162"/>
      <c r="G146" s="1188"/>
      <c r="H146" s="336" t="s">
        <v>247</v>
      </c>
      <c r="I146" s="1188"/>
      <c r="J146" s="336"/>
      <c r="K146" s="336"/>
      <c r="L146" s="1188"/>
    </row>
    <row r="147" spans="1:16" ht="20.399999999999999" customHeight="1">
      <c r="A147" s="1191"/>
      <c r="B147" s="597"/>
      <c r="C147" s="1456"/>
      <c r="D147" s="597"/>
      <c r="E147" s="1162"/>
      <c r="F147" s="1162"/>
      <c r="G147" s="1188"/>
      <c r="H147" s="336" t="s">
        <v>248</v>
      </c>
      <c r="I147" s="1188"/>
      <c r="J147" s="336"/>
      <c r="K147" s="336"/>
      <c r="L147" s="1188"/>
    </row>
    <row r="148" spans="1:16" ht="20.399999999999999" customHeight="1">
      <c r="A148" s="1191"/>
      <c r="B148" s="1162"/>
      <c r="C148" s="1456"/>
      <c r="D148" s="597"/>
      <c r="E148" s="1162"/>
      <c r="F148" s="1162"/>
      <c r="G148" s="1188"/>
      <c r="H148" s="336"/>
      <c r="I148" s="1188"/>
      <c r="J148" s="336"/>
      <c r="K148" s="336"/>
      <c r="L148" s="1188"/>
    </row>
    <row r="149" spans="1:16" ht="20.399999999999999" customHeight="1">
      <c r="A149" s="336" t="s">
        <v>249</v>
      </c>
      <c r="B149" s="336"/>
      <c r="C149" s="336"/>
      <c r="D149" s="336"/>
      <c r="E149" s="1162"/>
      <c r="F149" s="1162"/>
      <c r="G149" s="1188"/>
      <c r="H149" s="336" t="s">
        <v>250</v>
      </c>
      <c r="I149" s="1188"/>
      <c r="J149" s="336"/>
      <c r="K149" s="336"/>
      <c r="L149" s="1162"/>
    </row>
    <row r="150" spans="1:16" ht="20.399999999999999" customHeight="1">
      <c r="A150" s="336" t="s">
        <v>251</v>
      </c>
      <c r="B150" s="336"/>
      <c r="C150" s="336"/>
      <c r="D150" s="336"/>
      <c r="E150" s="1162"/>
      <c r="F150" s="1162"/>
      <c r="G150" s="1188"/>
      <c r="H150" s="336" t="s">
        <v>252</v>
      </c>
      <c r="I150" s="1188"/>
      <c r="J150" s="336"/>
      <c r="K150" s="336"/>
      <c r="L150" s="1162"/>
    </row>
    <row r="153" spans="1:16" ht="20.399999999999999" customHeight="1">
      <c r="A153" s="1462" t="s">
        <v>253</v>
      </c>
      <c r="B153" s="1463" t="s">
        <v>254</v>
      </c>
      <c r="C153" s="1464" t="s">
        <v>255</v>
      </c>
      <c r="D153" s="1464" t="s">
        <v>256</v>
      </c>
      <c r="E153" s="1464" t="s">
        <v>256</v>
      </c>
      <c r="F153" s="1464" t="s">
        <v>256</v>
      </c>
      <c r="G153" s="1464" t="s">
        <v>104</v>
      </c>
      <c r="H153" s="1464" t="s">
        <v>256</v>
      </c>
      <c r="I153" s="1464" t="s">
        <v>256</v>
      </c>
      <c r="J153" s="1464" t="s">
        <v>104</v>
      </c>
      <c r="K153" s="1464" t="s">
        <v>256</v>
      </c>
      <c r="L153" s="1464" t="s">
        <v>256</v>
      </c>
      <c r="M153" s="1464" t="s">
        <v>256</v>
      </c>
      <c r="N153" s="1464" t="s">
        <v>256</v>
      </c>
      <c r="O153" s="1464" t="s">
        <v>257</v>
      </c>
      <c r="P153" s="1468"/>
    </row>
    <row r="154" spans="1:16" ht="20.399999999999999" customHeight="1">
      <c r="A154" s="1465">
        <v>80</v>
      </c>
      <c r="B154" s="1466" t="s">
        <v>258</v>
      </c>
      <c r="C154" s="1465" t="s">
        <v>254</v>
      </c>
      <c r="D154" s="1467" t="s">
        <v>259</v>
      </c>
      <c r="E154" s="1467" t="s">
        <v>256</v>
      </c>
      <c r="F154" s="1467" t="s">
        <v>256</v>
      </c>
      <c r="G154" s="1467" t="s">
        <v>256</v>
      </c>
      <c r="H154" s="1467" t="s">
        <v>104</v>
      </c>
      <c r="I154" s="1467" t="s">
        <v>256</v>
      </c>
      <c r="J154" s="1467" t="s">
        <v>256</v>
      </c>
      <c r="K154" s="1467" t="s">
        <v>104</v>
      </c>
      <c r="L154" s="1467" t="s">
        <v>256</v>
      </c>
      <c r="M154" s="1467" t="s">
        <v>256</v>
      </c>
      <c r="N154" s="1467" t="s">
        <v>256</v>
      </c>
      <c r="O154" s="1467" t="s">
        <v>256</v>
      </c>
      <c r="P154" s="1467" t="s">
        <v>260</v>
      </c>
    </row>
    <row r="155" spans="1:16" ht="20.399999999999999" customHeight="1">
      <c r="A155" s="1463">
        <v>81</v>
      </c>
      <c r="B155" s="1462" t="s">
        <v>261</v>
      </c>
      <c r="C155" s="1463" t="s">
        <v>254</v>
      </c>
      <c r="D155" s="1464" t="s">
        <v>262</v>
      </c>
      <c r="E155" s="1464" t="s">
        <v>256</v>
      </c>
      <c r="F155" s="1464" t="s">
        <v>256</v>
      </c>
      <c r="G155" s="1464" t="s">
        <v>256</v>
      </c>
      <c r="H155" s="1464" t="s">
        <v>104</v>
      </c>
      <c r="I155" s="1464" t="s">
        <v>256</v>
      </c>
      <c r="J155" s="1464" t="s">
        <v>256</v>
      </c>
      <c r="K155" s="1464" t="s">
        <v>104</v>
      </c>
      <c r="L155" s="1464" t="s">
        <v>256</v>
      </c>
      <c r="M155" s="1464" t="s">
        <v>256</v>
      </c>
      <c r="N155" s="1464" t="s">
        <v>256</v>
      </c>
      <c r="O155" s="1464" t="s">
        <v>256</v>
      </c>
      <c r="P155" s="1464" t="s">
        <v>263</v>
      </c>
    </row>
    <row r="156" spans="1:16" ht="20.399999999999999" customHeight="1">
      <c r="A156" s="1465">
        <v>82</v>
      </c>
      <c r="B156" s="1466" t="s">
        <v>264</v>
      </c>
      <c r="C156" s="1465" t="s">
        <v>254</v>
      </c>
      <c r="D156" s="1467" t="s">
        <v>265</v>
      </c>
      <c r="E156" s="1467" t="s">
        <v>256</v>
      </c>
      <c r="F156" s="1467" t="s">
        <v>256</v>
      </c>
      <c r="G156" s="1467" t="s">
        <v>256</v>
      </c>
      <c r="H156" s="1467" t="s">
        <v>104</v>
      </c>
      <c r="I156" s="1467" t="s">
        <v>256</v>
      </c>
      <c r="J156" s="1467" t="s">
        <v>256</v>
      </c>
      <c r="K156" s="1467" t="s">
        <v>104</v>
      </c>
      <c r="L156" s="1467" t="s">
        <v>256</v>
      </c>
      <c r="M156" s="1467" t="s">
        <v>256</v>
      </c>
      <c r="N156" s="1467" t="s">
        <v>256</v>
      </c>
      <c r="O156" s="1467" t="s">
        <v>256</v>
      </c>
      <c r="P156" s="1467" t="s">
        <v>266</v>
      </c>
    </row>
    <row r="157" spans="1:16" ht="20.399999999999999" customHeight="1">
      <c r="A157" s="1463">
        <v>83</v>
      </c>
      <c r="B157" s="1462" t="s">
        <v>267</v>
      </c>
      <c r="C157" s="1463" t="s">
        <v>254</v>
      </c>
      <c r="D157" s="1464" t="s">
        <v>268</v>
      </c>
      <c r="E157" s="1464" t="s">
        <v>256</v>
      </c>
      <c r="F157" s="1464" t="s">
        <v>256</v>
      </c>
      <c r="G157" s="1464" t="s">
        <v>256</v>
      </c>
      <c r="H157" s="1464" t="s">
        <v>104</v>
      </c>
      <c r="I157" s="1464" t="s">
        <v>256</v>
      </c>
      <c r="J157" s="1464" t="s">
        <v>256</v>
      </c>
      <c r="K157" s="1464" t="s">
        <v>104</v>
      </c>
      <c r="L157" s="1464" t="s">
        <v>256</v>
      </c>
      <c r="M157" s="1464" t="s">
        <v>256</v>
      </c>
      <c r="N157" s="1464" t="s">
        <v>256</v>
      </c>
      <c r="O157" s="1464" t="s">
        <v>256</v>
      </c>
      <c r="P157" s="1464" t="s">
        <v>269</v>
      </c>
    </row>
    <row r="158" spans="1:16" ht="20.399999999999999" customHeight="1">
      <c r="A158" s="1465">
        <v>84</v>
      </c>
      <c r="B158" s="1466" t="s">
        <v>270</v>
      </c>
      <c r="C158" s="1465" t="s">
        <v>254</v>
      </c>
      <c r="D158" s="1467" t="s">
        <v>271</v>
      </c>
      <c r="E158" s="1467" t="s">
        <v>256</v>
      </c>
      <c r="F158" s="1467" t="s">
        <v>256</v>
      </c>
      <c r="G158" s="1467" t="s">
        <v>256</v>
      </c>
      <c r="H158" s="1467" t="s">
        <v>104</v>
      </c>
      <c r="I158" s="1467" t="s">
        <v>256</v>
      </c>
      <c r="J158" s="1467" t="s">
        <v>256</v>
      </c>
      <c r="K158" s="1467" t="s">
        <v>104</v>
      </c>
      <c r="L158" s="1467" t="s">
        <v>256</v>
      </c>
      <c r="M158" s="1467" t="s">
        <v>256</v>
      </c>
      <c r="N158" s="1467" t="s">
        <v>256</v>
      </c>
      <c r="O158" s="1467" t="s">
        <v>256</v>
      </c>
      <c r="P158" s="1467" t="s">
        <v>272</v>
      </c>
    </row>
    <row r="159" spans="1:16" ht="20.399999999999999" customHeight="1">
      <c r="A159" s="1463">
        <v>85</v>
      </c>
      <c r="B159" s="1462" t="s">
        <v>273</v>
      </c>
      <c r="C159" s="1463" t="s">
        <v>254</v>
      </c>
      <c r="D159" s="1464" t="s">
        <v>268</v>
      </c>
      <c r="E159" s="1464" t="s">
        <v>256</v>
      </c>
      <c r="F159" s="1464" t="s">
        <v>256</v>
      </c>
      <c r="G159" s="1464" t="s">
        <v>256</v>
      </c>
      <c r="H159" s="1464" t="s">
        <v>104</v>
      </c>
      <c r="I159" s="1464" t="s">
        <v>256</v>
      </c>
      <c r="J159" s="1464" t="s">
        <v>256</v>
      </c>
      <c r="K159" s="1464" t="s">
        <v>104</v>
      </c>
      <c r="L159" s="1464" t="s">
        <v>256</v>
      </c>
      <c r="M159" s="1464" t="s">
        <v>256</v>
      </c>
      <c r="N159" s="1464" t="s">
        <v>256</v>
      </c>
      <c r="O159" s="1464" t="s">
        <v>256</v>
      </c>
      <c r="P159" s="1464" t="s">
        <v>269</v>
      </c>
    </row>
    <row r="160" spans="1:16" ht="20.399999999999999" customHeight="1">
      <c r="A160" s="1465">
        <v>86</v>
      </c>
      <c r="B160" s="1466" t="s">
        <v>274</v>
      </c>
      <c r="C160" s="1465" t="s">
        <v>254</v>
      </c>
      <c r="D160" s="1467" t="s">
        <v>262</v>
      </c>
      <c r="E160" s="1467" t="s">
        <v>256</v>
      </c>
      <c r="F160" s="1467" t="s">
        <v>256</v>
      </c>
      <c r="G160" s="1467" t="s">
        <v>256</v>
      </c>
      <c r="H160" s="1467" t="s">
        <v>104</v>
      </c>
      <c r="I160" s="1467" t="s">
        <v>256</v>
      </c>
      <c r="J160" s="1467" t="s">
        <v>256</v>
      </c>
      <c r="K160" s="1467" t="s">
        <v>104</v>
      </c>
      <c r="L160" s="1467" t="s">
        <v>256</v>
      </c>
      <c r="M160" s="1467" t="s">
        <v>256</v>
      </c>
      <c r="N160" s="1467" t="s">
        <v>256</v>
      </c>
      <c r="O160" s="1467" t="s">
        <v>256</v>
      </c>
      <c r="P160" s="1467" t="s">
        <v>263</v>
      </c>
    </row>
    <row r="161" spans="1:16" ht="20.399999999999999" customHeight="1">
      <c r="A161" s="1463">
        <v>87</v>
      </c>
      <c r="B161" s="1462" t="s">
        <v>275</v>
      </c>
      <c r="C161" s="1463" t="s">
        <v>254</v>
      </c>
      <c r="D161" s="1464" t="s">
        <v>276</v>
      </c>
      <c r="E161" s="1464" t="s">
        <v>256</v>
      </c>
      <c r="F161" s="1464" t="s">
        <v>256</v>
      </c>
      <c r="G161" s="1464" t="s">
        <v>256</v>
      </c>
      <c r="H161" s="1464" t="s">
        <v>104</v>
      </c>
      <c r="I161" s="1464" t="s">
        <v>256</v>
      </c>
      <c r="J161" s="1464" t="s">
        <v>256</v>
      </c>
      <c r="K161" s="1464" t="s">
        <v>104</v>
      </c>
      <c r="L161" s="1464" t="s">
        <v>256</v>
      </c>
      <c r="M161" s="1464" t="s">
        <v>256</v>
      </c>
      <c r="N161" s="1464" t="s">
        <v>256</v>
      </c>
      <c r="O161" s="1464" t="s">
        <v>256</v>
      </c>
      <c r="P161" s="1464" t="s">
        <v>277</v>
      </c>
    </row>
    <row r="162" spans="1:16" ht="20.399999999999999" customHeight="1">
      <c r="A162" s="1465">
        <v>88</v>
      </c>
      <c r="B162" s="1466" t="s">
        <v>278</v>
      </c>
      <c r="C162" s="1465" t="s">
        <v>65</v>
      </c>
      <c r="D162" s="1467" t="s">
        <v>279</v>
      </c>
      <c r="E162" s="1467" t="s">
        <v>256</v>
      </c>
      <c r="F162" s="1467" t="s">
        <v>256</v>
      </c>
      <c r="G162" s="1467" t="s">
        <v>256</v>
      </c>
      <c r="H162" s="1467" t="s">
        <v>104</v>
      </c>
      <c r="I162" s="1467" t="s">
        <v>256</v>
      </c>
      <c r="J162" s="1467" t="s">
        <v>256</v>
      </c>
      <c r="K162" s="1467" t="s">
        <v>104</v>
      </c>
      <c r="L162" s="1467" t="s">
        <v>256</v>
      </c>
      <c r="M162" s="1467" t="s">
        <v>256</v>
      </c>
      <c r="N162" s="1467" t="s">
        <v>256</v>
      </c>
      <c r="O162" s="1467" t="s">
        <v>256</v>
      </c>
      <c r="P162" s="1467" t="s">
        <v>280</v>
      </c>
    </row>
    <row r="163" spans="1:16" ht="20.399999999999999" customHeight="1">
      <c r="A163" s="1463">
        <v>89</v>
      </c>
      <c r="B163" s="1462" t="s">
        <v>281</v>
      </c>
      <c r="C163" s="1463" t="s">
        <v>65</v>
      </c>
      <c r="D163" s="1464" t="s">
        <v>282</v>
      </c>
      <c r="E163" s="1464" t="s">
        <v>256</v>
      </c>
      <c r="F163" s="1464" t="s">
        <v>256</v>
      </c>
      <c r="G163" s="1464" t="s">
        <v>256</v>
      </c>
      <c r="H163" s="1464" t="s">
        <v>104</v>
      </c>
      <c r="I163" s="1464" t="s">
        <v>256</v>
      </c>
      <c r="J163" s="1464" t="s">
        <v>256</v>
      </c>
      <c r="K163" s="1464" t="s">
        <v>104</v>
      </c>
      <c r="L163" s="1464" t="s">
        <v>256</v>
      </c>
      <c r="M163" s="1464" t="s">
        <v>256</v>
      </c>
      <c r="N163" s="1464" t="s">
        <v>256</v>
      </c>
      <c r="O163" s="1464" t="s">
        <v>256</v>
      </c>
      <c r="P163" s="1464" t="s">
        <v>283</v>
      </c>
    </row>
    <row r="164" spans="1:16" ht="20.399999999999999" customHeight="1">
      <c r="A164" s="1465">
        <v>90</v>
      </c>
      <c r="B164" s="1466" t="s">
        <v>284</v>
      </c>
      <c r="C164" s="1465" t="s">
        <v>65</v>
      </c>
      <c r="D164" s="1467" t="s">
        <v>285</v>
      </c>
      <c r="E164" s="1467" t="s">
        <v>256</v>
      </c>
      <c r="F164" s="1467" t="s">
        <v>256</v>
      </c>
      <c r="G164" s="1467" t="s">
        <v>256</v>
      </c>
      <c r="H164" s="1467" t="s">
        <v>104</v>
      </c>
      <c r="I164" s="1467" t="s">
        <v>256</v>
      </c>
      <c r="J164" s="1467" t="s">
        <v>256</v>
      </c>
      <c r="K164" s="1467" t="s">
        <v>104</v>
      </c>
      <c r="L164" s="1467" t="s">
        <v>256</v>
      </c>
      <c r="M164" s="1467" t="s">
        <v>256</v>
      </c>
      <c r="N164" s="1467" t="s">
        <v>256</v>
      </c>
      <c r="O164" s="1467" t="s">
        <v>256</v>
      </c>
      <c r="P164" s="1467" t="s">
        <v>286</v>
      </c>
    </row>
    <row r="165" spans="1:16" ht="20.399999999999999" customHeight="1">
      <c r="A165" s="1463">
        <v>91</v>
      </c>
      <c r="B165" s="1462" t="s">
        <v>287</v>
      </c>
      <c r="C165" s="1463" t="s">
        <v>254</v>
      </c>
      <c r="D165" s="1464" t="s">
        <v>288</v>
      </c>
      <c r="E165" s="1464" t="s">
        <v>256</v>
      </c>
      <c r="F165" s="1464" t="s">
        <v>256</v>
      </c>
      <c r="G165" s="1464" t="s">
        <v>256</v>
      </c>
      <c r="H165" s="1464" t="s">
        <v>104</v>
      </c>
      <c r="I165" s="1464" t="s">
        <v>256</v>
      </c>
      <c r="J165" s="1464" t="s">
        <v>256</v>
      </c>
      <c r="K165" s="1464" t="s">
        <v>104</v>
      </c>
      <c r="L165" s="1464" t="s">
        <v>256</v>
      </c>
      <c r="M165" s="1464" t="s">
        <v>256</v>
      </c>
      <c r="N165" s="1464" t="s">
        <v>256</v>
      </c>
      <c r="O165" s="1464" t="s">
        <v>256</v>
      </c>
      <c r="P165" s="1464" t="s">
        <v>289</v>
      </c>
    </row>
    <row r="166" spans="1:16" ht="20.399999999999999" customHeight="1">
      <c r="A166" s="1465">
        <v>92</v>
      </c>
      <c r="B166" s="1466" t="s">
        <v>290</v>
      </c>
      <c r="C166" s="1465" t="s">
        <v>254</v>
      </c>
      <c r="D166" s="1467" t="s">
        <v>291</v>
      </c>
      <c r="E166" s="1467" t="s">
        <v>256</v>
      </c>
      <c r="F166" s="1467" t="s">
        <v>256</v>
      </c>
      <c r="G166" s="1467" t="s">
        <v>256</v>
      </c>
      <c r="H166" s="1467" t="s">
        <v>104</v>
      </c>
      <c r="I166" s="1467" t="s">
        <v>256</v>
      </c>
      <c r="J166" s="1467" t="s">
        <v>256</v>
      </c>
      <c r="K166" s="1467" t="s">
        <v>104</v>
      </c>
      <c r="L166" s="1467" t="s">
        <v>256</v>
      </c>
      <c r="M166" s="1467" t="s">
        <v>256</v>
      </c>
      <c r="N166" s="1467" t="s">
        <v>256</v>
      </c>
      <c r="O166" s="1467" t="s">
        <v>256</v>
      </c>
      <c r="P166" s="1467" t="s">
        <v>292</v>
      </c>
    </row>
    <row r="167" spans="1:16" ht="20.399999999999999" customHeight="1">
      <c r="A167" s="1463">
        <v>93</v>
      </c>
      <c r="B167" s="1462" t="s">
        <v>293</v>
      </c>
      <c r="C167" s="1463" t="s">
        <v>254</v>
      </c>
      <c r="D167" s="1464" t="s">
        <v>294</v>
      </c>
      <c r="E167" s="1464" t="s">
        <v>256</v>
      </c>
      <c r="F167" s="1464" t="s">
        <v>256</v>
      </c>
      <c r="G167" s="1464" t="s">
        <v>256</v>
      </c>
      <c r="H167" s="1464" t="s">
        <v>104</v>
      </c>
      <c r="I167" s="1464" t="s">
        <v>256</v>
      </c>
      <c r="J167" s="1464" t="s">
        <v>256</v>
      </c>
      <c r="K167" s="1464" t="s">
        <v>104</v>
      </c>
      <c r="L167" s="1464" t="s">
        <v>256</v>
      </c>
      <c r="M167" s="1464" t="s">
        <v>256</v>
      </c>
      <c r="N167" s="1464" t="s">
        <v>256</v>
      </c>
      <c r="O167" s="1464" t="s">
        <v>256</v>
      </c>
      <c r="P167" s="1464" t="s">
        <v>295</v>
      </c>
    </row>
    <row r="168" spans="1:16" ht="20.399999999999999" customHeight="1">
      <c r="A168" s="1465">
        <v>94</v>
      </c>
      <c r="B168" s="1466" t="s">
        <v>296</v>
      </c>
      <c r="C168" s="1465" t="s">
        <v>254</v>
      </c>
      <c r="D168" s="1467" t="s">
        <v>297</v>
      </c>
      <c r="E168" s="1467" t="s">
        <v>256</v>
      </c>
      <c r="F168" s="1467" t="s">
        <v>256</v>
      </c>
      <c r="G168" s="1467" t="s">
        <v>256</v>
      </c>
      <c r="H168" s="1467" t="s">
        <v>104</v>
      </c>
      <c r="I168" s="1467" t="s">
        <v>256</v>
      </c>
      <c r="J168" s="1467" t="s">
        <v>256</v>
      </c>
      <c r="K168" s="1467" t="s">
        <v>104</v>
      </c>
      <c r="L168" s="1467" t="s">
        <v>256</v>
      </c>
      <c r="M168" s="1467" t="s">
        <v>256</v>
      </c>
      <c r="N168" s="1467" t="s">
        <v>256</v>
      </c>
      <c r="O168" s="1467" t="s">
        <v>256</v>
      </c>
      <c r="P168" s="1467" t="s">
        <v>298</v>
      </c>
    </row>
    <row r="169" spans="1:16" ht="20.399999999999999" customHeight="1">
      <c r="A169" s="1463">
        <v>95</v>
      </c>
      <c r="B169" s="1462" t="s">
        <v>299</v>
      </c>
      <c r="C169" s="1463" t="s">
        <v>254</v>
      </c>
      <c r="D169" s="1464" t="s">
        <v>300</v>
      </c>
      <c r="E169" s="1464" t="s">
        <v>256</v>
      </c>
      <c r="F169" s="1464" t="s">
        <v>256</v>
      </c>
      <c r="G169" s="1464" t="s">
        <v>256</v>
      </c>
      <c r="H169" s="1464" t="s">
        <v>104</v>
      </c>
      <c r="I169" s="1464" t="s">
        <v>256</v>
      </c>
      <c r="J169" s="1464" t="s">
        <v>256</v>
      </c>
      <c r="K169" s="1464" t="s">
        <v>104</v>
      </c>
      <c r="L169" s="1464" t="s">
        <v>256</v>
      </c>
      <c r="M169" s="1464" t="s">
        <v>256</v>
      </c>
      <c r="N169" s="1464" t="s">
        <v>256</v>
      </c>
      <c r="O169" s="1464" t="s">
        <v>256</v>
      </c>
      <c r="P169" s="1464" t="s">
        <v>301</v>
      </c>
    </row>
    <row r="170" spans="1:16" ht="20.399999999999999" customHeight="1">
      <c r="A170" s="1465">
        <v>96</v>
      </c>
      <c r="B170" s="1466" t="s">
        <v>302</v>
      </c>
      <c r="C170" s="1465" t="s">
        <v>254</v>
      </c>
      <c r="D170" s="1467" t="s">
        <v>303</v>
      </c>
      <c r="E170" s="1467" t="s">
        <v>256</v>
      </c>
      <c r="F170" s="1467" t="s">
        <v>256</v>
      </c>
      <c r="G170" s="1467" t="s">
        <v>256</v>
      </c>
      <c r="H170" s="1467" t="s">
        <v>104</v>
      </c>
      <c r="I170" s="1467" t="s">
        <v>256</v>
      </c>
      <c r="J170" s="1467" t="s">
        <v>256</v>
      </c>
      <c r="K170" s="1467" t="s">
        <v>104</v>
      </c>
      <c r="L170" s="1467" t="s">
        <v>256</v>
      </c>
      <c r="M170" s="1467" t="s">
        <v>256</v>
      </c>
      <c r="N170" s="1467" t="s">
        <v>256</v>
      </c>
      <c r="O170" s="1467" t="s">
        <v>256</v>
      </c>
      <c r="P170" s="1467" t="s">
        <v>304</v>
      </c>
    </row>
  </sheetData>
  <mergeCells count="28">
    <mergeCell ref="L7:L8"/>
    <mergeCell ref="L48:L49"/>
    <mergeCell ref="L88:L89"/>
    <mergeCell ref="L130:L131"/>
    <mergeCell ref="B7:E8"/>
    <mergeCell ref="B48:E49"/>
    <mergeCell ref="B88:E89"/>
    <mergeCell ref="B130:E131"/>
    <mergeCell ref="A125:K125"/>
    <mergeCell ref="F130:G130"/>
    <mergeCell ref="H130:I130"/>
    <mergeCell ref="J130:K130"/>
    <mergeCell ref="A7:A8"/>
    <mergeCell ref="A48:A49"/>
    <mergeCell ref="A88:A89"/>
    <mergeCell ref="A130:A131"/>
    <mergeCell ref="F48:G48"/>
    <mergeCell ref="H48:I48"/>
    <mergeCell ref="J48:K48"/>
    <mergeCell ref="A83:K83"/>
    <mergeCell ref="F88:G88"/>
    <mergeCell ref="H88:I88"/>
    <mergeCell ref="J88:K88"/>
    <mergeCell ref="A1:K1"/>
    <mergeCell ref="F7:G7"/>
    <mergeCell ref="H7:I7"/>
    <mergeCell ref="J7:K7"/>
    <mergeCell ref="A42:K42"/>
  </mergeCells>
  <pageMargins left="0.196850393700787" right="0.196850393700787" top="0.27559055118110198" bottom="0.196850393700787" header="0.15748031496063" footer="0.118110236220472"/>
  <pageSetup paperSize="9" orientation="portrait" horizontalDpi="360" verticalDpi="360" r:id="rId1"/>
  <headerFooter>
    <oddHeader>&amp;Rแบบ ปร.4 แผ่นที่ &amp;P/3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O24"/>
  <sheetViews>
    <sheetView workbookViewId="0">
      <selection activeCell="G11" sqref="G11"/>
    </sheetView>
  </sheetViews>
  <sheetFormatPr defaultColWidth="7.88671875" defaultRowHeight="21"/>
  <cols>
    <col min="1" max="1" width="3.21875" style="311" customWidth="1"/>
    <col min="2" max="2" width="31" style="311" customWidth="1"/>
    <col min="3" max="3" width="6.44140625" style="311" customWidth="1"/>
    <col min="4" max="4" width="7" style="311" customWidth="1"/>
    <col min="5" max="5" width="8.109375" style="311" customWidth="1"/>
    <col min="6" max="6" width="8.21875" style="311" customWidth="1"/>
    <col min="7" max="8" width="10.44140625" style="311" customWidth="1"/>
    <col min="9" max="9" width="6.6640625" style="311" customWidth="1"/>
    <col min="10" max="10" width="6.88671875" style="311" customWidth="1"/>
    <col min="11" max="11" width="7.88671875" style="311"/>
    <col min="12" max="12" width="11.21875" style="311"/>
    <col min="13" max="13" width="7.88671875" style="311"/>
    <col min="14" max="14" width="7.21875" style="311" customWidth="1"/>
    <col min="15" max="16384" width="7.88671875" style="311"/>
  </cols>
  <sheetData>
    <row r="1" spans="1:15" s="107" customFormat="1" ht="18">
      <c r="A1" s="2147" t="s">
        <v>577</v>
      </c>
      <c r="B1" s="2147"/>
      <c r="C1" s="2147"/>
      <c r="D1" s="2147"/>
      <c r="E1" s="2147"/>
      <c r="F1" s="2147"/>
      <c r="G1" s="2147"/>
      <c r="H1" s="2147"/>
      <c r="I1" s="2147"/>
      <c r="J1" s="312"/>
    </row>
    <row r="2" spans="1:15" s="107" customFormat="1" ht="18">
      <c r="A2" s="312"/>
      <c r="B2" s="312" t="s">
        <v>1034</v>
      </c>
      <c r="C2" s="313" t="s">
        <v>793</v>
      </c>
      <c r="D2" s="314">
        <v>1.2</v>
      </c>
      <c r="E2" s="313" t="s">
        <v>1035</v>
      </c>
      <c r="F2" s="314">
        <v>2.4</v>
      </c>
      <c r="G2" s="313" t="s">
        <v>1036</v>
      </c>
      <c r="H2" s="315">
        <f>D2*F2</f>
        <v>2.88</v>
      </c>
      <c r="I2" s="342" t="s">
        <v>83</v>
      </c>
      <c r="J2" s="342"/>
    </row>
    <row r="3" spans="1:15" s="107" customFormat="1" ht="18">
      <c r="A3" s="2149" t="s">
        <v>310</v>
      </c>
      <c r="B3" s="2151" t="s">
        <v>96</v>
      </c>
      <c r="C3" s="2151" t="s">
        <v>175</v>
      </c>
      <c r="D3" s="2151" t="s">
        <v>11</v>
      </c>
      <c r="E3" s="2148" t="s">
        <v>1037</v>
      </c>
      <c r="F3" s="2148"/>
      <c r="G3" s="2151" t="s">
        <v>393</v>
      </c>
      <c r="H3" s="2151" t="s">
        <v>1038</v>
      </c>
      <c r="I3" s="2153" t="s">
        <v>100</v>
      </c>
      <c r="J3" s="114"/>
    </row>
    <row r="4" spans="1:15" s="107" customFormat="1" ht="18">
      <c r="A4" s="2150"/>
      <c r="B4" s="2152"/>
      <c r="C4" s="2152"/>
      <c r="D4" s="2152"/>
      <c r="E4" s="316" t="s">
        <v>1039</v>
      </c>
      <c r="F4" s="316" t="s">
        <v>177</v>
      </c>
      <c r="G4" s="2152"/>
      <c r="H4" s="2152"/>
      <c r="I4" s="2154"/>
      <c r="J4" s="114"/>
    </row>
    <row r="5" spans="1:15" s="107" customFormat="1" ht="18">
      <c r="A5" s="317">
        <v>1</v>
      </c>
      <c r="B5" s="318" t="s">
        <v>1040</v>
      </c>
      <c r="C5" s="319">
        <v>1</v>
      </c>
      <c r="D5" s="320" t="s">
        <v>75</v>
      </c>
      <c r="E5" s="321">
        <f>'3.สืบท่อโฟมลูกรังทรายเหล็กป้าย'!G46</f>
        <v>935</v>
      </c>
      <c r="F5" s="321">
        <f>K11*10</f>
        <v>280.3</v>
      </c>
      <c r="G5" s="322">
        <f t="shared" ref="G5:G13" si="0">E5+F5</f>
        <v>1215.3</v>
      </c>
      <c r="H5" s="322">
        <f t="shared" ref="H5:H13" si="1">G5*C5</f>
        <v>1215.3</v>
      </c>
      <c r="I5" s="343"/>
      <c r="J5" s="114"/>
    </row>
    <row r="6" spans="1:15" s="107" customFormat="1" ht="18">
      <c r="A6" s="323"/>
      <c r="B6" s="77" t="s">
        <v>142</v>
      </c>
      <c r="C6" s="81"/>
      <c r="D6" s="81"/>
      <c r="E6" s="324"/>
      <c r="F6" s="324"/>
      <c r="G6" s="325"/>
      <c r="H6" s="325"/>
      <c r="I6" s="344"/>
      <c r="J6" s="114"/>
    </row>
    <row r="7" spans="1:15" s="107" customFormat="1" ht="18">
      <c r="A7" s="323">
        <v>2</v>
      </c>
      <c r="B7" s="77" t="s">
        <v>961</v>
      </c>
      <c r="C7" s="326">
        <v>0</v>
      </c>
      <c r="D7" s="81" t="s">
        <v>346</v>
      </c>
      <c r="E7" s="324">
        <f>'3.สืบท่อโฟมลูกรังทรายเหล็กป้าย'!G48</f>
        <v>351</v>
      </c>
      <c r="F7" s="324">
        <f>L11*10</f>
        <v>101.3</v>
      </c>
      <c r="G7" s="325">
        <f t="shared" si="0"/>
        <v>452.3</v>
      </c>
      <c r="H7" s="325">
        <f t="shared" si="1"/>
        <v>0</v>
      </c>
      <c r="I7" s="344"/>
      <c r="J7" s="114"/>
    </row>
    <row r="8" spans="1:15" s="107" customFormat="1" ht="18">
      <c r="A8" s="323">
        <v>3</v>
      </c>
      <c r="B8" s="77" t="s">
        <v>1041</v>
      </c>
      <c r="C8" s="326">
        <v>0</v>
      </c>
      <c r="D8" s="81" t="s">
        <v>346</v>
      </c>
      <c r="E8" s="327">
        <f>'3.สืบท่อโฟมลูกรังทรายเหล็กป้าย'!G49</f>
        <v>157.01</v>
      </c>
      <c r="F8" s="324">
        <f>M11*10</f>
        <v>45.5</v>
      </c>
      <c r="G8" s="325">
        <f t="shared" si="0"/>
        <v>202.51</v>
      </c>
      <c r="H8" s="325">
        <f t="shared" si="1"/>
        <v>0</v>
      </c>
      <c r="I8" s="344"/>
      <c r="J8" s="114"/>
    </row>
    <row r="9" spans="1:15" s="107" customFormat="1" ht="18">
      <c r="A9" s="323">
        <v>4</v>
      </c>
      <c r="B9" s="77" t="s">
        <v>1042</v>
      </c>
      <c r="C9" s="81">
        <v>0</v>
      </c>
      <c r="D9" s="81" t="s">
        <v>184</v>
      </c>
      <c r="E9" s="328">
        <f>'3.สืบท่อโฟมลูกรังทรายเหล็กป้าย'!G16</f>
        <v>1913.9</v>
      </c>
      <c r="F9" s="324">
        <v>426</v>
      </c>
      <c r="G9" s="325">
        <f t="shared" si="0"/>
        <v>2339.9</v>
      </c>
      <c r="H9" s="325">
        <f t="shared" si="1"/>
        <v>0</v>
      </c>
      <c r="I9" s="344"/>
      <c r="J9" s="114"/>
      <c r="K9" s="345" t="s">
        <v>1043</v>
      </c>
      <c r="L9" s="345" t="s">
        <v>1044</v>
      </c>
      <c r="M9" s="345" t="s">
        <v>1045</v>
      </c>
      <c r="N9" s="106" t="s">
        <v>109</v>
      </c>
    </row>
    <row r="10" spans="1:15" s="107" customFormat="1" ht="18">
      <c r="A10" s="323">
        <v>5</v>
      </c>
      <c r="B10" s="77" t="s">
        <v>1046</v>
      </c>
      <c r="C10" s="329">
        <f>N10</f>
        <v>8.2854857142857092</v>
      </c>
      <c r="D10" s="81" t="s">
        <v>83</v>
      </c>
      <c r="E10" s="325">
        <v>0</v>
      </c>
      <c r="F10" s="324">
        <v>35</v>
      </c>
      <c r="G10" s="325">
        <f t="shared" si="0"/>
        <v>35</v>
      </c>
      <c r="H10" s="325">
        <f t="shared" si="1"/>
        <v>289.99200000000002</v>
      </c>
      <c r="I10" s="344"/>
      <c r="J10" s="74" t="s">
        <v>952</v>
      </c>
      <c r="K10" s="107">
        <f>1.2*2.4*2</f>
        <v>5.76</v>
      </c>
      <c r="L10" s="107">
        <f>2*22/7*(0.0254*2)*6</f>
        <v>1.91588571428571</v>
      </c>
      <c r="M10" s="107">
        <f>0.0254*4*6</f>
        <v>0.60960000000000003</v>
      </c>
      <c r="N10" s="107">
        <f>SUM(K10:M10)</f>
        <v>8.2854857142857092</v>
      </c>
      <c r="O10" s="107" t="s">
        <v>83</v>
      </c>
    </row>
    <row r="11" spans="1:15" s="107" customFormat="1" ht="18">
      <c r="A11" s="323">
        <v>6</v>
      </c>
      <c r="B11" s="77" t="s">
        <v>1047</v>
      </c>
      <c r="C11" s="329">
        <f>N10</f>
        <v>8.2854857142857092</v>
      </c>
      <c r="D11" s="81" t="s">
        <v>83</v>
      </c>
      <c r="E11" s="325">
        <v>0</v>
      </c>
      <c r="F11" s="324">
        <v>35</v>
      </c>
      <c r="G11" s="325">
        <f t="shared" si="0"/>
        <v>35</v>
      </c>
      <c r="H11" s="325">
        <f t="shared" si="1"/>
        <v>289.99200000000002</v>
      </c>
      <c r="I11" s="344"/>
      <c r="J11" s="74" t="s">
        <v>1048</v>
      </c>
      <c r="K11" s="107">
        <v>28.03</v>
      </c>
      <c r="L11" s="109">
        <v>10.130000000000001</v>
      </c>
      <c r="M11" s="107">
        <v>4.55</v>
      </c>
      <c r="N11" s="107">
        <f>SUM(K11:M11)</f>
        <v>42.71</v>
      </c>
      <c r="O11" s="107" t="s">
        <v>81</v>
      </c>
    </row>
    <row r="12" spans="1:15" s="107" customFormat="1" ht="18">
      <c r="A12" s="330">
        <v>7</v>
      </c>
      <c r="B12" s="77" t="s">
        <v>1049</v>
      </c>
      <c r="C12" s="326">
        <v>1</v>
      </c>
      <c r="D12" s="81" t="s">
        <v>455</v>
      </c>
      <c r="E12" s="325">
        <v>0</v>
      </c>
      <c r="F12" s="324">
        <v>200</v>
      </c>
      <c r="G12" s="325">
        <f t="shared" si="0"/>
        <v>200</v>
      </c>
      <c r="H12" s="325">
        <f t="shared" si="1"/>
        <v>200</v>
      </c>
      <c r="I12" s="346"/>
      <c r="J12" s="108"/>
      <c r="L12" s="109"/>
    </row>
    <row r="13" spans="1:15" s="107" customFormat="1" ht="18">
      <c r="A13" s="331">
        <v>8</v>
      </c>
      <c r="B13" s="332" t="s">
        <v>1050</v>
      </c>
      <c r="C13" s="333">
        <v>1</v>
      </c>
      <c r="D13" s="334" t="s">
        <v>455</v>
      </c>
      <c r="E13" s="335">
        <v>0</v>
      </c>
      <c r="F13" s="335">
        <v>100</v>
      </c>
      <c r="G13" s="335">
        <f t="shared" si="0"/>
        <v>100</v>
      </c>
      <c r="H13" s="335">
        <f t="shared" si="1"/>
        <v>100</v>
      </c>
      <c r="I13" s="347"/>
      <c r="J13" s="348"/>
    </row>
    <row r="14" spans="1:15" s="107" customFormat="1" ht="18">
      <c r="A14" s="336"/>
      <c r="B14" s="336"/>
      <c r="C14" s="336"/>
      <c r="D14" s="336"/>
      <c r="E14" s="337"/>
      <c r="F14" s="337"/>
      <c r="G14" s="338" t="s">
        <v>513</v>
      </c>
      <c r="H14" s="339">
        <f>SUM(H5:H13)</f>
        <v>2095.2840000000001</v>
      </c>
      <c r="I14" s="349" t="s">
        <v>445</v>
      </c>
      <c r="J14" s="350">
        <f>H14*1.07</f>
        <v>2241.95388</v>
      </c>
    </row>
    <row r="15" spans="1:15" s="107" customFormat="1">
      <c r="A15" s="340"/>
      <c r="B15" s="340"/>
      <c r="C15" s="340"/>
      <c r="D15" s="340"/>
      <c r="E15" s="340"/>
      <c r="F15" s="340"/>
      <c r="G15" s="216"/>
      <c r="H15" s="341" t="str">
        <f>"("&amp;BAHTTEXT(H14)&amp;")"</f>
        <v>(สองพันเก้าสิบห้าบาทยี่สิบแปดสตางค์)</v>
      </c>
      <c r="I15" s="351"/>
      <c r="J15" s="351"/>
      <c r="K15" s="311"/>
      <c r="L15" s="311"/>
      <c r="M15" s="311"/>
      <c r="N15" s="311"/>
    </row>
    <row r="16" spans="1:15">
      <c r="A16" s="340"/>
      <c r="B16" s="340"/>
      <c r="C16" s="340"/>
      <c r="D16" s="340"/>
      <c r="E16" s="340"/>
      <c r="F16" s="340"/>
      <c r="G16" s="340"/>
      <c r="H16" s="340"/>
      <c r="I16" s="340"/>
      <c r="J16" s="340"/>
    </row>
    <row r="17" spans="1:10">
      <c r="A17" s="340"/>
      <c r="B17" s="340"/>
      <c r="C17" s="340"/>
      <c r="D17" s="340"/>
      <c r="E17" s="340"/>
      <c r="F17" s="340"/>
      <c r="G17" s="340"/>
      <c r="H17" s="340"/>
      <c r="I17" s="340"/>
      <c r="J17" s="340"/>
    </row>
    <row r="18" spans="1:10">
      <c r="A18" s="340"/>
      <c r="B18" s="340"/>
      <c r="C18" s="340"/>
      <c r="D18" s="340"/>
      <c r="E18" s="340"/>
      <c r="F18" s="340"/>
      <c r="G18" s="340"/>
      <c r="H18" s="340"/>
      <c r="I18" s="340"/>
      <c r="J18" s="340"/>
    </row>
    <row r="19" spans="1:10">
      <c r="A19" s="340"/>
      <c r="B19" s="340"/>
      <c r="C19" s="340"/>
      <c r="D19" s="340"/>
      <c r="E19" s="340"/>
      <c r="F19" s="340"/>
      <c r="G19" s="340"/>
      <c r="H19" s="340"/>
      <c r="I19" s="340"/>
      <c r="J19" s="340"/>
    </row>
    <row r="20" spans="1:10">
      <c r="A20" s="340"/>
      <c r="B20" s="340"/>
      <c r="C20" s="340"/>
      <c r="D20" s="340"/>
      <c r="E20" s="340"/>
      <c r="F20" s="340"/>
      <c r="G20" s="340"/>
      <c r="H20" s="340"/>
      <c r="I20" s="340"/>
      <c r="J20" s="340"/>
    </row>
    <row r="21" spans="1:10">
      <c r="A21" s="340"/>
      <c r="B21" s="340"/>
      <c r="C21" s="340"/>
      <c r="D21" s="340"/>
      <c r="E21" s="340"/>
      <c r="F21" s="340"/>
      <c r="G21" s="340"/>
      <c r="H21" s="340"/>
      <c r="I21" s="340"/>
      <c r="J21" s="340"/>
    </row>
    <row r="22" spans="1:10">
      <c r="A22" s="340"/>
      <c r="B22" s="340"/>
      <c r="C22" s="340"/>
      <c r="D22" s="340"/>
      <c r="E22" s="340"/>
      <c r="F22" s="340"/>
      <c r="G22" s="340"/>
      <c r="H22" s="340"/>
      <c r="I22" s="340"/>
      <c r="J22" s="340"/>
    </row>
    <row r="23" spans="1:10">
      <c r="A23" s="340"/>
      <c r="B23" s="340"/>
      <c r="C23" s="340"/>
      <c r="D23" s="340"/>
      <c r="E23" s="340"/>
      <c r="F23" s="340"/>
      <c r="G23" s="340"/>
      <c r="H23" s="340"/>
      <c r="I23" s="340"/>
      <c r="J23" s="340"/>
    </row>
    <row r="24" spans="1:10">
      <c r="A24" s="340"/>
      <c r="B24" s="340"/>
      <c r="C24" s="340"/>
      <c r="D24" s="340"/>
      <c r="E24" s="340"/>
      <c r="F24" s="340"/>
      <c r="G24" s="340"/>
      <c r="H24" s="340"/>
      <c r="I24" s="340"/>
      <c r="J24" s="340"/>
    </row>
  </sheetData>
  <mergeCells count="9">
    <mergeCell ref="A1:I1"/>
    <mergeCell ref="E3:F3"/>
    <mergeCell ref="A3:A4"/>
    <mergeCell ref="B3:B4"/>
    <mergeCell ref="C3:C4"/>
    <mergeCell ref="D3:D4"/>
    <mergeCell ref="G3:G4"/>
    <mergeCell ref="H3:H4"/>
    <mergeCell ref="I3:I4"/>
  </mergeCell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FF0000"/>
  </sheetPr>
  <dimension ref="A1:BD58"/>
  <sheetViews>
    <sheetView showGridLines="0" topLeftCell="A60" workbookViewId="0">
      <selection activeCell="J49" sqref="J49"/>
    </sheetView>
  </sheetViews>
  <sheetFormatPr defaultColWidth="8" defaultRowHeight="18"/>
  <cols>
    <col min="1" max="1" width="5.44140625" style="125" customWidth="1"/>
    <col min="2" max="2" width="9" style="125" customWidth="1"/>
    <col min="3" max="3" width="23.33203125" style="125" customWidth="1"/>
    <col min="4" max="4" width="5.44140625" style="125" customWidth="1"/>
    <col min="5" max="5" width="5.88671875" style="125" customWidth="1"/>
    <col min="6" max="6" width="9.88671875" style="125" customWidth="1"/>
    <col min="7" max="7" width="8.44140625" style="125" customWidth="1"/>
    <col min="8" max="8" width="8" style="125" customWidth="1"/>
    <col min="9" max="9" width="10.109375" style="125" customWidth="1"/>
    <col min="10" max="10" width="8.33203125" style="125" customWidth="1"/>
    <col min="11" max="11" width="7.88671875" style="125" customWidth="1"/>
    <col min="12" max="12" width="10.21875" style="125" customWidth="1"/>
    <col min="13" max="13" width="7.88671875" style="125" customWidth="1"/>
    <col min="14" max="14" width="8.6640625" style="125" customWidth="1"/>
    <col min="15" max="15" width="10.44140625" style="125" customWidth="1"/>
    <col min="16" max="16" width="8.6640625" style="125" customWidth="1"/>
    <col min="17" max="17" width="7.6640625" style="126" customWidth="1"/>
    <col min="18" max="18" width="6.77734375" style="125" customWidth="1"/>
    <col min="19" max="19" width="8" style="125"/>
    <col min="20" max="20" width="8" style="125" hidden="1" customWidth="1"/>
    <col min="21" max="38" width="6.6640625" style="125" hidden="1" customWidth="1"/>
    <col min="39" max="39" width="9.33203125" style="125" hidden="1" customWidth="1"/>
    <col min="40" max="40" width="6.6640625" style="125" hidden="1" customWidth="1"/>
    <col min="41" max="41" width="7" style="125" hidden="1" customWidth="1"/>
    <col min="42" max="42" width="8.5546875" style="125" hidden="1" customWidth="1"/>
    <col min="43" max="55" width="8" style="125"/>
    <col min="56" max="56" width="8" style="125" hidden="1" customWidth="1"/>
    <col min="57" max="16384" width="8" style="125"/>
  </cols>
  <sheetData>
    <row r="1" spans="2:56" ht="23.4">
      <c r="B1" s="1857" t="s">
        <v>86</v>
      </c>
      <c r="C1" s="1857"/>
      <c r="D1" s="1857"/>
      <c r="E1" s="1857"/>
      <c r="F1" s="1857"/>
      <c r="G1" s="1857"/>
      <c r="H1" s="1857"/>
      <c r="I1" s="1857"/>
      <c r="J1" s="1857"/>
      <c r="K1" s="1857"/>
      <c r="L1" s="1857"/>
      <c r="M1" s="1857"/>
      <c r="R1" s="273" t="s">
        <v>87</v>
      </c>
    </row>
    <row r="2" spans="2:56" ht="21">
      <c r="B2" s="127" t="s">
        <v>88</v>
      </c>
      <c r="C2" s="127" t="str">
        <f>'[50]1.ข้อมูลโครงการ'!L10</f>
        <v>ก่อสร้างท่อคอนกรีตเสริมเหล็กชั้น 3 มี มอก. ขนาดเส้นผ่าศูนย์กลาง 0.60 เมตร</v>
      </c>
      <c r="D2" s="127" t="str">
        <f>'[50]1.ข้อมูลโครงการ'!L13</f>
        <v>จากซอย 2 ถึง ซอย 4</v>
      </c>
      <c r="E2" s="127"/>
      <c r="H2" s="127" t="str">
        <f>'[50]1.ข้อมูลโครงการ'!L14</f>
        <v>หมู่ที่ 6 บ้านโคกคอย</v>
      </c>
    </row>
    <row r="3" spans="2:56" ht="21">
      <c r="B3" s="127"/>
      <c r="C3" s="127" t="s">
        <v>1051</v>
      </c>
      <c r="D3" s="127"/>
      <c r="E3" s="127"/>
    </row>
    <row r="4" spans="2:56" ht="22.8">
      <c r="B4" s="127" t="s">
        <v>92</v>
      </c>
      <c r="C4" s="127" t="s">
        <v>93</v>
      </c>
      <c r="D4" s="127"/>
      <c r="E4" s="127"/>
      <c r="G4" s="128"/>
      <c r="H4" s="129"/>
      <c r="I4" s="129"/>
    </row>
    <row r="5" spans="2:56">
      <c r="B5" s="1910" t="s">
        <v>95</v>
      </c>
      <c r="C5" s="1900" t="s">
        <v>96</v>
      </c>
      <c r="D5" s="130"/>
      <c r="E5" s="131"/>
      <c r="F5" s="1863" t="s">
        <v>11</v>
      </c>
      <c r="G5" s="132" t="s">
        <v>12</v>
      </c>
      <c r="H5" s="1858" t="s">
        <v>97</v>
      </c>
      <c r="I5" s="1859"/>
      <c r="J5" s="1859"/>
      <c r="K5" s="1859"/>
      <c r="L5" s="1859"/>
      <c r="M5" s="1860"/>
      <c r="N5" s="1886" t="s">
        <v>98</v>
      </c>
      <c r="O5" s="1887"/>
      <c r="P5" s="1888"/>
      <c r="Q5" s="1906" t="s">
        <v>99</v>
      </c>
      <c r="R5" s="1865" t="s">
        <v>100</v>
      </c>
      <c r="T5" s="274" t="s">
        <v>17</v>
      </c>
      <c r="U5" s="1818" t="s">
        <v>18</v>
      </c>
      <c r="V5" s="1819"/>
      <c r="W5" s="1820"/>
      <c r="X5" s="1821" t="s">
        <v>19</v>
      </c>
      <c r="Y5" s="1822"/>
      <c r="Z5" s="1823"/>
      <c r="AA5" s="1818" t="s">
        <v>18</v>
      </c>
      <c r="AB5" s="1819"/>
      <c r="AC5" s="1820"/>
      <c r="AD5" s="1821" t="s">
        <v>19</v>
      </c>
      <c r="AE5" s="1822"/>
      <c r="AF5" s="1823"/>
      <c r="AG5" s="1818" t="s">
        <v>18</v>
      </c>
      <c r="AH5" s="1819"/>
      <c r="AI5" s="1820"/>
      <c r="AJ5" s="1821" t="s">
        <v>19</v>
      </c>
      <c r="AK5" s="1822"/>
      <c r="AL5" s="1823"/>
      <c r="AM5" s="306" t="s">
        <v>20</v>
      </c>
      <c r="AN5" s="274" t="s">
        <v>8</v>
      </c>
      <c r="AO5" s="274" t="s">
        <v>21</v>
      </c>
      <c r="AP5" s="306" t="s">
        <v>22</v>
      </c>
    </row>
    <row r="6" spans="2:56">
      <c r="B6" s="1911"/>
      <c r="C6" s="1868"/>
      <c r="D6" s="134"/>
      <c r="E6" s="135"/>
      <c r="F6" s="1864"/>
      <c r="G6" s="137" t="s">
        <v>31</v>
      </c>
      <c r="H6" s="1868" t="s">
        <v>116</v>
      </c>
      <c r="I6" s="1870"/>
      <c r="J6" s="1868" t="s">
        <v>1052</v>
      </c>
      <c r="K6" s="1870"/>
      <c r="L6" s="1868" t="s">
        <v>102</v>
      </c>
      <c r="M6" s="1870"/>
      <c r="N6" s="228" t="s">
        <v>104</v>
      </c>
      <c r="O6" s="228" t="s">
        <v>104</v>
      </c>
      <c r="P6" s="228" t="s">
        <v>104</v>
      </c>
      <c r="Q6" s="1932"/>
      <c r="R6" s="1866"/>
      <c r="S6" s="276"/>
      <c r="T6" s="274" t="s">
        <v>23</v>
      </c>
      <c r="U6" s="277" t="s">
        <v>24</v>
      </c>
      <c r="V6" s="277" t="s">
        <v>25</v>
      </c>
      <c r="W6" s="277" t="s">
        <v>26</v>
      </c>
      <c r="X6" s="277" t="s">
        <v>24</v>
      </c>
      <c r="Y6" s="277" t="s">
        <v>25</v>
      </c>
      <c r="Z6" s="277" t="s">
        <v>26</v>
      </c>
      <c r="AA6" s="277" t="s">
        <v>24</v>
      </c>
      <c r="AB6" s="277" t="s">
        <v>25</v>
      </c>
      <c r="AC6" s="277" t="s">
        <v>26</v>
      </c>
      <c r="AD6" s="277" t="s">
        <v>24</v>
      </c>
      <c r="AE6" s="277" t="s">
        <v>25</v>
      </c>
      <c r="AF6" s="277" t="s">
        <v>26</v>
      </c>
      <c r="AG6" s="277" t="s">
        <v>24</v>
      </c>
      <c r="AH6" s="277" t="s">
        <v>25</v>
      </c>
      <c r="AI6" s="277" t="s">
        <v>26</v>
      </c>
      <c r="AJ6" s="277" t="s">
        <v>24</v>
      </c>
      <c r="AK6" s="277" t="s">
        <v>25</v>
      </c>
      <c r="AL6" s="277" t="s">
        <v>26</v>
      </c>
      <c r="AM6" s="306" t="s">
        <v>23</v>
      </c>
      <c r="AN6" s="274" t="s">
        <v>27</v>
      </c>
      <c r="AO6" s="274" t="s">
        <v>28</v>
      </c>
      <c r="AP6" s="306" t="s">
        <v>29</v>
      </c>
      <c r="BD6" s="125" t="s">
        <v>30</v>
      </c>
    </row>
    <row r="7" spans="2:56" ht="22.95" customHeight="1">
      <c r="B7" s="138">
        <v>11</v>
      </c>
      <c r="C7" s="139" t="s">
        <v>143</v>
      </c>
      <c r="D7" s="140"/>
      <c r="E7" s="141"/>
      <c r="F7" s="142" t="s">
        <v>133</v>
      </c>
      <c r="G7" s="143">
        <f>I7</f>
        <v>332</v>
      </c>
      <c r="H7" s="144"/>
      <c r="I7" s="229">
        <v>332</v>
      </c>
      <c r="J7" s="230"/>
      <c r="K7" s="231">
        <v>342</v>
      </c>
      <c r="L7" s="1892" t="s">
        <v>102</v>
      </c>
      <c r="M7" s="1893"/>
      <c r="N7" s="234" t="s">
        <v>102</v>
      </c>
      <c r="O7" s="234" t="s">
        <v>102</v>
      </c>
      <c r="P7" s="234" t="s">
        <v>102</v>
      </c>
      <c r="Q7" s="233"/>
      <c r="R7" s="278"/>
    </row>
    <row r="8" spans="2:56" ht="22.95" customHeight="1">
      <c r="B8" s="145">
        <v>12</v>
      </c>
      <c r="C8" s="146" t="s">
        <v>1053</v>
      </c>
      <c r="D8" s="147"/>
      <c r="E8" s="148"/>
      <c r="F8" s="149" t="s">
        <v>1054</v>
      </c>
      <c r="G8" s="150">
        <f>K8</f>
        <v>280</v>
      </c>
      <c r="H8" s="151"/>
      <c r="I8" s="235">
        <v>330</v>
      </c>
      <c r="J8" s="236"/>
      <c r="K8" s="237">
        <v>280</v>
      </c>
      <c r="L8" s="2155" t="s">
        <v>102</v>
      </c>
      <c r="M8" s="2156"/>
      <c r="N8" s="234" t="s">
        <v>102</v>
      </c>
      <c r="O8" s="234" t="s">
        <v>102</v>
      </c>
      <c r="P8" s="234" t="s">
        <v>102</v>
      </c>
      <c r="Q8" s="238"/>
      <c r="R8" s="279"/>
    </row>
    <row r="9" spans="2:56" ht="22.95" customHeight="1">
      <c r="B9" s="152">
        <v>13</v>
      </c>
      <c r="C9" s="153" t="s">
        <v>1055</v>
      </c>
      <c r="D9" s="154"/>
      <c r="E9" s="155"/>
      <c r="F9" s="156" t="s">
        <v>1054</v>
      </c>
      <c r="G9" s="157">
        <f>J9</f>
        <v>398</v>
      </c>
      <c r="H9" s="2157">
        <v>398</v>
      </c>
      <c r="I9" s="2158"/>
      <c r="J9" s="2159">
        <v>398</v>
      </c>
      <c r="K9" s="2160"/>
      <c r="L9" s="1898" t="s">
        <v>102</v>
      </c>
      <c r="M9" s="1899"/>
      <c r="N9" s="239" t="s">
        <v>102</v>
      </c>
      <c r="O9" s="239" t="s">
        <v>102</v>
      </c>
      <c r="P9" s="239" t="s">
        <v>102</v>
      </c>
      <c r="Q9" s="280"/>
      <c r="R9" s="281"/>
    </row>
    <row r="10" spans="2:56">
      <c r="B10" s="1910" t="s">
        <v>95</v>
      </c>
      <c r="C10" s="1900" t="s">
        <v>96</v>
      </c>
      <c r="D10" s="130"/>
      <c r="E10" s="131"/>
      <c r="F10" s="1863" t="s">
        <v>11</v>
      </c>
      <c r="G10" s="132" t="s">
        <v>12</v>
      </c>
      <c r="H10" s="1858" t="s">
        <v>97</v>
      </c>
      <c r="I10" s="1859"/>
      <c r="J10" s="1859"/>
      <c r="K10" s="1859"/>
      <c r="L10" s="1859"/>
      <c r="M10" s="1860"/>
      <c r="N10" s="1916" t="s">
        <v>98</v>
      </c>
      <c r="O10" s="1917"/>
      <c r="P10" s="1918"/>
      <c r="Q10" s="1906" t="s">
        <v>99</v>
      </c>
      <c r="R10" s="1865" t="s">
        <v>100</v>
      </c>
      <c r="T10" s="274" t="s">
        <v>17</v>
      </c>
      <c r="U10" s="1818" t="s">
        <v>18</v>
      </c>
      <c r="V10" s="1819"/>
      <c r="W10" s="1820"/>
      <c r="X10" s="1821" t="s">
        <v>19</v>
      </c>
      <c r="Y10" s="1822"/>
      <c r="Z10" s="1823"/>
      <c r="AA10" s="1818" t="s">
        <v>18</v>
      </c>
      <c r="AB10" s="1819"/>
      <c r="AC10" s="1820"/>
      <c r="AD10" s="1821" t="s">
        <v>19</v>
      </c>
      <c r="AE10" s="1822"/>
      <c r="AF10" s="1823"/>
      <c r="AG10" s="1818" t="s">
        <v>18</v>
      </c>
      <c r="AH10" s="1819"/>
      <c r="AI10" s="1820"/>
      <c r="AJ10" s="1821" t="s">
        <v>19</v>
      </c>
      <c r="AK10" s="1822"/>
      <c r="AL10" s="1823"/>
      <c r="AM10" s="306" t="s">
        <v>20</v>
      </c>
      <c r="AN10" s="274" t="s">
        <v>8</v>
      </c>
      <c r="AO10" s="274" t="s">
        <v>21</v>
      </c>
      <c r="AP10" s="306" t="s">
        <v>22</v>
      </c>
    </row>
    <row r="11" spans="2:56">
      <c r="B11" s="1911"/>
      <c r="C11" s="1868"/>
      <c r="D11" s="134"/>
      <c r="E11" s="135"/>
      <c r="F11" s="1864"/>
      <c r="G11" s="137" t="s">
        <v>31</v>
      </c>
      <c r="H11" s="1861" t="s">
        <v>1056</v>
      </c>
      <c r="I11" s="1862"/>
      <c r="J11" s="1861" t="s">
        <v>1057</v>
      </c>
      <c r="K11" s="1862"/>
      <c r="L11" s="1861" t="s">
        <v>1058</v>
      </c>
      <c r="M11" s="1862"/>
      <c r="N11" s="1871"/>
      <c r="O11" s="1872"/>
      <c r="P11" s="1873"/>
      <c r="Q11" s="1932"/>
      <c r="R11" s="1866"/>
      <c r="T11" s="274" t="s">
        <v>23</v>
      </c>
      <c r="U11" s="277" t="s">
        <v>24</v>
      </c>
      <c r="V11" s="277" t="s">
        <v>25</v>
      </c>
      <c r="W11" s="277" t="s">
        <v>26</v>
      </c>
      <c r="X11" s="277" t="s">
        <v>24</v>
      </c>
      <c r="Y11" s="277" t="s">
        <v>25</v>
      </c>
      <c r="Z11" s="277" t="s">
        <v>26</v>
      </c>
      <c r="AA11" s="277" t="s">
        <v>24</v>
      </c>
      <c r="AB11" s="277" t="s">
        <v>25</v>
      </c>
      <c r="AC11" s="277" t="s">
        <v>26</v>
      </c>
      <c r="AD11" s="277" t="s">
        <v>24</v>
      </c>
      <c r="AE11" s="277" t="s">
        <v>25</v>
      </c>
      <c r="AF11" s="277" t="s">
        <v>26</v>
      </c>
      <c r="AG11" s="277" t="s">
        <v>24</v>
      </c>
      <c r="AH11" s="277" t="s">
        <v>25</v>
      </c>
      <c r="AI11" s="277" t="s">
        <v>26</v>
      </c>
      <c r="AJ11" s="277" t="s">
        <v>24</v>
      </c>
      <c r="AK11" s="277" t="s">
        <v>25</v>
      </c>
      <c r="AL11" s="277" t="s">
        <v>26</v>
      </c>
      <c r="AM11" s="306" t="s">
        <v>23</v>
      </c>
      <c r="AN11" s="274" t="s">
        <v>27</v>
      </c>
      <c r="AO11" s="274" t="s">
        <v>28</v>
      </c>
      <c r="AP11" s="306" t="s">
        <v>29</v>
      </c>
      <c r="BD11" s="125" t="s">
        <v>30</v>
      </c>
    </row>
    <row r="12" spans="2:56">
      <c r="B12" s="158">
        <v>1</v>
      </c>
      <c r="C12" s="159" t="s">
        <v>103</v>
      </c>
      <c r="D12" s="160"/>
      <c r="E12" s="161"/>
      <c r="F12" s="162" t="s">
        <v>55</v>
      </c>
      <c r="G12" s="163">
        <v>67</v>
      </c>
      <c r="H12" s="1867">
        <v>67</v>
      </c>
      <c r="I12" s="1867"/>
      <c r="J12" s="241"/>
      <c r="K12" s="242">
        <v>90</v>
      </c>
      <c r="L12" s="241"/>
      <c r="M12" s="242">
        <v>100</v>
      </c>
      <c r="N12" s="243" t="s">
        <v>104</v>
      </c>
      <c r="O12" s="243" t="s">
        <v>104</v>
      </c>
      <c r="P12" s="243" t="s">
        <v>104</v>
      </c>
      <c r="Q12" s="282" t="e">
        <f>#REF!</f>
        <v>#REF!</v>
      </c>
      <c r="R12" s="283"/>
      <c r="T12" s="284">
        <f>SUM(H12:N12)</f>
        <v>257</v>
      </c>
      <c r="U12" s="285" t="e">
        <f>IF(#REF!="รถ 6 ล้อ",H12*#REF!,0)</f>
        <v>#REF!</v>
      </c>
      <c r="V12" s="285" t="e">
        <f>IF(#REF!="รถ 6 ล้อ",N12*#REF!,0)</f>
        <v>#REF!</v>
      </c>
      <c r="W12" s="285" t="e">
        <f>IF(#REF!="รถ 6 ล้อ",#REF!*#REF!,0)</f>
        <v>#REF!</v>
      </c>
      <c r="X12" s="285" t="e">
        <f>IF(#REF!="รถ 6 ล้อ",#REF!*#REF!,0)</f>
        <v>#REF!</v>
      </c>
      <c r="Y12" s="285" t="e">
        <f>IF(#REF!="รถ 6 ล้อ",#REF!*#REF!,0)</f>
        <v>#REF!</v>
      </c>
      <c r="Z12" s="285" t="e">
        <f>IF(#REF!="รถ 6 ล้อ",#REF!*#REF!,0)</f>
        <v>#REF!</v>
      </c>
      <c r="AA12" s="285" t="e">
        <f>IF(#REF!="รถ 10 ล้อ",H12*#REF!,0)</f>
        <v>#REF!</v>
      </c>
      <c r="AB12" s="285" t="e">
        <f>IF(#REF!="รถ 10 ล้อ",N12*#REF!,0)</f>
        <v>#REF!</v>
      </c>
      <c r="AC12" s="285" t="e">
        <f>IF(#REF!="รถ 10 ล้อ",#REF!*#REF!,0)</f>
        <v>#REF!</v>
      </c>
      <c r="AD12" s="285" t="e">
        <f>IF(#REF!="รถ 10 ล้อ",#REF!*#REF!,0)</f>
        <v>#REF!</v>
      </c>
      <c r="AE12" s="285" t="e">
        <f>IF(#REF!="รถ 10 ล้อ",#REF!*#REF!,0)</f>
        <v>#REF!</v>
      </c>
      <c r="AF12" s="285" t="e">
        <f>IF(#REF!="รถ 10 ล้อ",#REF!*#REF!,0)</f>
        <v>#REF!</v>
      </c>
      <c r="AG12" s="285" t="e">
        <f>IF(#REF!="รถ 10 ล้อ + ลากพ่วง",H12*#REF!,0)</f>
        <v>#REF!</v>
      </c>
      <c r="AH12" s="285" t="e">
        <f>IF(#REF!="รถ 10 ล้อ + ลากพ่วง",N12*#REF!,0)</f>
        <v>#REF!</v>
      </c>
      <c r="AI12" s="285" t="e">
        <f>IF(#REF!="รถ 10 ล้อ + ลากพ่วง",#REF!*#REF!,0)</f>
        <v>#REF!</v>
      </c>
      <c r="AJ12" s="285" t="e">
        <f>IF(#REF!="รถ 10 ล้อ + ลากพ่วง",#REF!*#REF!,0)</f>
        <v>#REF!</v>
      </c>
      <c r="AK12" s="285" t="e">
        <f>IF(#REF!="รถ 10 ล้อ + ลากพ่วง",#REF!*#REF!,0)</f>
        <v>#REF!</v>
      </c>
      <c r="AL12" s="285" t="e">
        <f>IF(#REF!="รถ 10 ล้อ + ลากพ่วง",#REF!*#REF!,0)</f>
        <v>#REF!</v>
      </c>
      <c r="AM12" s="307" t="e">
        <f>ROUND(SUM(U12:AL12),2)</f>
        <v>#REF!</v>
      </c>
      <c r="AN12" s="308" t="e">
        <f>IF(T12=0,0,ROUND(AM12/T12,4))</f>
        <v>#REF!</v>
      </c>
      <c r="AO12" s="285" t="e">
        <f>IF(T12=0,0,IF(#REF!="รถ 6 ล้อ",VLOOKUP($T12,[51]ค่าขนส่งดำเนินการเสื่อมราคา!$B$11:$D$210,3),IF(#REF!="รถ 10 ล้อ",VLOOKUP($T12,[51]ค่าขนส่งดำเนินการเสื่อมราคา!$F$11:$H$210,3),IF(#REF!="รถ 10 ล้อ + ลากพ่วง",VLOOKUP($T12,[51]ค่าขนส่งดำเนินการเสื่อมราคา!$J$11:$L$210,3),0))))</f>
        <v>#REF!</v>
      </c>
      <c r="AP12" s="310" t="e">
        <f>ROUND(AN12*AO12,2)</f>
        <v>#REF!</v>
      </c>
    </row>
    <row r="13" spans="2:56">
      <c r="B13" s="1910" t="s">
        <v>95</v>
      </c>
      <c r="C13" s="1900" t="s">
        <v>96</v>
      </c>
      <c r="D13" s="130"/>
      <c r="E13" s="131"/>
      <c r="F13" s="1863" t="s">
        <v>11</v>
      </c>
      <c r="G13" s="132" t="s">
        <v>12</v>
      </c>
      <c r="H13" s="1858" t="s">
        <v>97</v>
      </c>
      <c r="I13" s="1859"/>
      <c r="J13" s="1859"/>
      <c r="K13" s="1859"/>
      <c r="L13" s="1859"/>
      <c r="M13" s="1860"/>
      <c r="N13" s="1916" t="s">
        <v>98</v>
      </c>
      <c r="O13" s="1917"/>
      <c r="P13" s="1918"/>
      <c r="Q13" s="1906" t="s">
        <v>99</v>
      </c>
      <c r="R13" s="1865" t="s">
        <v>100</v>
      </c>
      <c r="T13" s="274" t="s">
        <v>17</v>
      </c>
      <c r="U13" s="1818" t="s">
        <v>18</v>
      </c>
      <c r="V13" s="1819"/>
      <c r="W13" s="1820"/>
      <c r="X13" s="1821" t="s">
        <v>19</v>
      </c>
      <c r="Y13" s="1822"/>
      <c r="Z13" s="1823"/>
      <c r="AA13" s="1818" t="s">
        <v>18</v>
      </c>
      <c r="AB13" s="1819"/>
      <c r="AC13" s="1820"/>
      <c r="AD13" s="1821" t="s">
        <v>19</v>
      </c>
      <c r="AE13" s="1822"/>
      <c r="AF13" s="1823"/>
      <c r="AG13" s="1818" t="s">
        <v>18</v>
      </c>
      <c r="AH13" s="1819"/>
      <c r="AI13" s="1820"/>
      <c r="AJ13" s="1821" t="s">
        <v>19</v>
      </c>
      <c r="AK13" s="1822"/>
      <c r="AL13" s="1823"/>
      <c r="AM13" s="306" t="s">
        <v>20</v>
      </c>
      <c r="AN13" s="274" t="s">
        <v>8</v>
      </c>
      <c r="AO13" s="274" t="s">
        <v>21</v>
      </c>
      <c r="AP13" s="306" t="s">
        <v>22</v>
      </c>
    </row>
    <row r="14" spans="2:56">
      <c r="B14" s="1911"/>
      <c r="C14" s="1868"/>
      <c r="D14" s="134"/>
      <c r="E14" s="135"/>
      <c r="F14" s="1864"/>
      <c r="G14" s="137" t="s">
        <v>31</v>
      </c>
      <c r="H14" s="1861"/>
      <c r="I14" s="1862"/>
      <c r="J14" s="133"/>
      <c r="K14" s="135"/>
      <c r="L14" s="133"/>
      <c r="M14" s="135"/>
      <c r="N14" s="1871"/>
      <c r="O14" s="1872"/>
      <c r="P14" s="1873"/>
      <c r="Q14" s="1932"/>
      <c r="R14" s="1866"/>
      <c r="T14" s="274" t="s">
        <v>23</v>
      </c>
      <c r="U14" s="277" t="s">
        <v>24</v>
      </c>
      <c r="V14" s="277" t="s">
        <v>25</v>
      </c>
      <c r="W14" s="277" t="s">
        <v>26</v>
      </c>
      <c r="X14" s="277" t="s">
        <v>24</v>
      </c>
      <c r="Y14" s="277" t="s">
        <v>25</v>
      </c>
      <c r="Z14" s="277" t="s">
        <v>26</v>
      </c>
      <c r="AA14" s="277" t="s">
        <v>24</v>
      </c>
      <c r="AB14" s="277" t="s">
        <v>25</v>
      </c>
      <c r="AC14" s="277" t="s">
        <v>26</v>
      </c>
      <c r="AD14" s="277" t="s">
        <v>24</v>
      </c>
      <c r="AE14" s="277" t="s">
        <v>25</v>
      </c>
      <c r="AF14" s="277" t="s">
        <v>26</v>
      </c>
      <c r="AG14" s="277" t="s">
        <v>24</v>
      </c>
      <c r="AH14" s="277" t="s">
        <v>25</v>
      </c>
      <c r="AI14" s="277" t="s">
        <v>26</v>
      </c>
      <c r="AJ14" s="277" t="s">
        <v>24</v>
      </c>
      <c r="AK14" s="277" t="s">
        <v>25</v>
      </c>
      <c r="AL14" s="277" t="s">
        <v>26</v>
      </c>
      <c r="AM14" s="306" t="s">
        <v>23</v>
      </c>
      <c r="AN14" s="274" t="s">
        <v>27</v>
      </c>
      <c r="AO14" s="274" t="s">
        <v>28</v>
      </c>
      <c r="AP14" s="306" t="s">
        <v>29</v>
      </c>
      <c r="BD14" s="125" t="s">
        <v>30</v>
      </c>
    </row>
    <row r="15" spans="2:56" ht="22.95" customHeight="1">
      <c r="B15" s="164"/>
      <c r="C15" s="165"/>
      <c r="D15" s="154"/>
      <c r="E15" s="155"/>
      <c r="F15" s="156" t="s">
        <v>986</v>
      </c>
      <c r="G15" s="166">
        <f>H15</f>
        <v>0</v>
      </c>
      <c r="H15" s="167"/>
      <c r="I15" s="244"/>
      <c r="J15" s="182"/>
      <c r="K15" s="245" t="s">
        <v>102</v>
      </c>
      <c r="L15" s="182"/>
      <c r="M15" s="245" t="s">
        <v>102</v>
      </c>
      <c r="N15" s="243" t="s">
        <v>104</v>
      </c>
      <c r="O15" s="243" t="s">
        <v>104</v>
      </c>
      <c r="P15" s="243" t="s">
        <v>104</v>
      </c>
      <c r="Q15" s="282" t="e">
        <f>#REF!</f>
        <v>#REF!</v>
      </c>
      <c r="R15" s="286"/>
    </row>
    <row r="16" spans="2:56">
      <c r="B16" s="1912" t="s">
        <v>95</v>
      </c>
      <c r="C16" s="1904" t="s">
        <v>96</v>
      </c>
      <c r="D16" s="170"/>
      <c r="E16" s="171"/>
      <c r="F16" s="1928" t="s">
        <v>11</v>
      </c>
      <c r="G16" s="173" t="s">
        <v>12</v>
      </c>
      <c r="H16" s="1868" t="s">
        <v>97</v>
      </c>
      <c r="I16" s="1869"/>
      <c r="J16" s="1869"/>
      <c r="K16" s="1869"/>
      <c r="L16" s="1869"/>
      <c r="M16" s="1870"/>
      <c r="N16" s="1919" t="s">
        <v>98</v>
      </c>
      <c r="O16" s="1920"/>
      <c r="P16" s="1921"/>
      <c r="Q16" s="1907" t="s">
        <v>99</v>
      </c>
      <c r="R16" s="1874" t="s">
        <v>100</v>
      </c>
      <c r="T16" s="274" t="s">
        <v>17</v>
      </c>
      <c r="U16" s="1818" t="s">
        <v>18</v>
      </c>
      <c r="V16" s="1819"/>
      <c r="W16" s="1820"/>
      <c r="X16" s="1821" t="s">
        <v>19</v>
      </c>
      <c r="Y16" s="1822"/>
      <c r="Z16" s="1823"/>
      <c r="AA16" s="1818" t="s">
        <v>18</v>
      </c>
      <c r="AB16" s="1819"/>
      <c r="AC16" s="1820"/>
      <c r="AD16" s="1821" t="s">
        <v>19</v>
      </c>
      <c r="AE16" s="1822"/>
      <c r="AF16" s="1823"/>
      <c r="AG16" s="1818" t="s">
        <v>18</v>
      </c>
      <c r="AH16" s="1819"/>
      <c r="AI16" s="1820"/>
      <c r="AJ16" s="1821" t="s">
        <v>19</v>
      </c>
      <c r="AK16" s="1822"/>
      <c r="AL16" s="1823"/>
      <c r="AM16" s="306" t="s">
        <v>20</v>
      </c>
      <c r="AN16" s="274" t="s">
        <v>8</v>
      </c>
      <c r="AO16" s="274" t="s">
        <v>21</v>
      </c>
      <c r="AP16" s="306" t="s">
        <v>22</v>
      </c>
    </row>
    <row r="17" spans="2:56">
      <c r="B17" s="1911"/>
      <c r="C17" s="1868"/>
      <c r="D17" s="134"/>
      <c r="E17" s="135"/>
      <c r="F17" s="1864"/>
      <c r="G17" s="137" t="s">
        <v>31</v>
      </c>
      <c r="H17" s="1868" t="s">
        <v>59</v>
      </c>
      <c r="I17" s="1869"/>
      <c r="J17" s="1870"/>
      <c r="K17" s="1868" t="s">
        <v>106</v>
      </c>
      <c r="L17" s="1869"/>
      <c r="M17" s="1870"/>
      <c r="N17" s="1871"/>
      <c r="O17" s="1872"/>
      <c r="P17" s="1873"/>
      <c r="Q17" s="1932"/>
      <c r="R17" s="1866"/>
      <c r="T17" s="274" t="s">
        <v>23</v>
      </c>
      <c r="U17" s="277" t="s">
        <v>24</v>
      </c>
      <c r="V17" s="277" t="s">
        <v>25</v>
      </c>
      <c r="W17" s="277" t="s">
        <v>26</v>
      </c>
      <c r="X17" s="277" t="s">
        <v>24</v>
      </c>
      <c r="Y17" s="277" t="s">
        <v>25</v>
      </c>
      <c r="Z17" s="277" t="s">
        <v>26</v>
      </c>
      <c r="AA17" s="277" t="s">
        <v>24</v>
      </c>
      <c r="AB17" s="277" t="s">
        <v>25</v>
      </c>
      <c r="AC17" s="277" t="s">
        <v>26</v>
      </c>
      <c r="AD17" s="277" t="s">
        <v>24</v>
      </c>
      <c r="AE17" s="277" t="s">
        <v>25</v>
      </c>
      <c r="AF17" s="277" t="s">
        <v>26</v>
      </c>
      <c r="AG17" s="277" t="s">
        <v>24</v>
      </c>
      <c r="AH17" s="277" t="s">
        <v>25</v>
      </c>
      <c r="AI17" s="277" t="s">
        <v>26</v>
      </c>
      <c r="AJ17" s="277" t="s">
        <v>24</v>
      </c>
      <c r="AK17" s="277" t="s">
        <v>25</v>
      </c>
      <c r="AL17" s="277" t="s">
        <v>26</v>
      </c>
      <c r="AM17" s="306" t="s">
        <v>23</v>
      </c>
      <c r="AN17" s="274" t="s">
        <v>27</v>
      </c>
      <c r="AO17" s="274" t="s">
        <v>28</v>
      </c>
      <c r="AP17" s="306" t="s">
        <v>29</v>
      </c>
      <c r="BD17" s="125" t="s">
        <v>30</v>
      </c>
    </row>
    <row r="18" spans="2:56">
      <c r="B18" s="174"/>
      <c r="C18" s="175"/>
      <c r="D18" s="176"/>
      <c r="E18" s="177"/>
      <c r="F18" s="178"/>
      <c r="G18" s="179"/>
      <c r="H18" s="180" t="s">
        <v>107</v>
      </c>
      <c r="I18" s="183" t="s">
        <v>108</v>
      </c>
      <c r="J18" s="133" t="s">
        <v>109</v>
      </c>
      <c r="K18" s="180" t="s">
        <v>107</v>
      </c>
      <c r="L18" s="183" t="s">
        <v>110</v>
      </c>
      <c r="M18" s="133" t="s">
        <v>109</v>
      </c>
      <c r="N18" s="136"/>
      <c r="O18" s="136"/>
      <c r="P18" s="136"/>
      <c r="Q18" s="264"/>
      <c r="R18" s="275"/>
      <c r="T18" s="288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309"/>
      <c r="AN18" s="288"/>
      <c r="AO18" s="288"/>
      <c r="AP18" s="309"/>
    </row>
    <row r="19" spans="2:56" ht="22.95" customHeight="1">
      <c r="B19" s="164">
        <v>3</v>
      </c>
      <c r="C19" s="165" t="s">
        <v>111</v>
      </c>
      <c r="D19" s="154"/>
      <c r="E19" s="155"/>
      <c r="F19" s="162" t="s">
        <v>55</v>
      </c>
      <c r="G19" s="181">
        <f>J19</f>
        <v>221.59</v>
      </c>
      <c r="H19" s="182">
        <v>150</v>
      </c>
      <c r="I19" s="182">
        <f>'[50]รถ 10 ล้อ'!I28</f>
        <v>71.59</v>
      </c>
      <c r="J19" s="167">
        <f t="shared" ref="J19:J24" si="0">H19+I19</f>
        <v>221.59</v>
      </c>
      <c r="K19" s="182">
        <v>270</v>
      </c>
      <c r="L19" s="182">
        <f>'[50]รถ 10 ล้อ'!M21</f>
        <v>186.8</v>
      </c>
      <c r="M19" s="182">
        <f t="shared" ref="M19:M24" si="1">K19+L19</f>
        <v>456.8</v>
      </c>
      <c r="N19" s="243" t="str">
        <f>N12</f>
        <v>-</v>
      </c>
      <c r="O19" s="243"/>
      <c r="P19" s="243"/>
      <c r="Q19" s="282" t="e">
        <f>Q12</f>
        <v>#REF!</v>
      </c>
      <c r="R19" s="286"/>
    </row>
    <row r="20" spans="2:56">
      <c r="B20" s="1910" t="s">
        <v>95</v>
      </c>
      <c r="C20" s="1900" t="s">
        <v>96</v>
      </c>
      <c r="D20" s="130"/>
      <c r="E20" s="131"/>
      <c r="F20" s="1863" t="s">
        <v>11</v>
      </c>
      <c r="G20" s="132" t="s">
        <v>12</v>
      </c>
      <c r="H20" s="1858" t="s">
        <v>97</v>
      </c>
      <c r="I20" s="1859"/>
      <c r="J20" s="1859"/>
      <c r="K20" s="1859"/>
      <c r="L20" s="1859"/>
      <c r="M20" s="1860"/>
      <c r="N20" s="1916" t="s">
        <v>98</v>
      </c>
      <c r="O20" s="1917"/>
      <c r="P20" s="1918"/>
      <c r="Q20" s="1906" t="s">
        <v>99</v>
      </c>
      <c r="R20" s="1865" t="s">
        <v>100</v>
      </c>
      <c r="T20" s="274" t="s">
        <v>17</v>
      </c>
      <c r="U20" s="1818" t="s">
        <v>18</v>
      </c>
      <c r="V20" s="1819"/>
      <c r="W20" s="1820"/>
      <c r="X20" s="1821" t="s">
        <v>19</v>
      </c>
      <c r="Y20" s="1822"/>
      <c r="Z20" s="1823"/>
      <c r="AA20" s="1818" t="s">
        <v>18</v>
      </c>
      <c r="AB20" s="1819"/>
      <c r="AC20" s="1820"/>
      <c r="AD20" s="1821" t="s">
        <v>19</v>
      </c>
      <c r="AE20" s="1822"/>
      <c r="AF20" s="1823"/>
      <c r="AG20" s="1818" t="s">
        <v>18</v>
      </c>
      <c r="AH20" s="1819"/>
      <c r="AI20" s="1820"/>
      <c r="AJ20" s="1821" t="s">
        <v>19</v>
      </c>
      <c r="AK20" s="1822"/>
      <c r="AL20" s="1823"/>
      <c r="AM20" s="306" t="s">
        <v>20</v>
      </c>
      <c r="AN20" s="274" t="s">
        <v>8</v>
      </c>
      <c r="AO20" s="274" t="s">
        <v>21</v>
      </c>
      <c r="AP20" s="306" t="s">
        <v>22</v>
      </c>
    </row>
    <row r="21" spans="2:56">
      <c r="B21" s="1911"/>
      <c r="C21" s="1868"/>
      <c r="D21" s="134"/>
      <c r="E21" s="135"/>
      <c r="F21" s="1864"/>
      <c r="G21" s="137" t="s">
        <v>31</v>
      </c>
      <c r="H21" s="1871" t="s">
        <v>59</v>
      </c>
      <c r="I21" s="1872"/>
      <c r="J21" s="1873"/>
      <c r="K21" s="1871" t="s">
        <v>106</v>
      </c>
      <c r="L21" s="1872"/>
      <c r="M21" s="1873"/>
      <c r="N21" s="1871"/>
      <c r="O21" s="1872"/>
      <c r="P21" s="1873"/>
      <c r="Q21" s="1932"/>
      <c r="R21" s="1866"/>
      <c r="T21" s="274" t="s">
        <v>23</v>
      </c>
      <c r="U21" s="277" t="s">
        <v>24</v>
      </c>
      <c r="V21" s="277" t="s">
        <v>25</v>
      </c>
      <c r="W21" s="277" t="s">
        <v>26</v>
      </c>
      <c r="X21" s="277" t="s">
        <v>24</v>
      </c>
      <c r="Y21" s="277" t="s">
        <v>25</v>
      </c>
      <c r="Z21" s="277" t="s">
        <v>26</v>
      </c>
      <c r="AA21" s="277" t="s">
        <v>24</v>
      </c>
      <c r="AB21" s="277" t="s">
        <v>25</v>
      </c>
      <c r="AC21" s="277" t="s">
        <v>26</v>
      </c>
      <c r="AD21" s="277" t="s">
        <v>24</v>
      </c>
      <c r="AE21" s="277" t="s">
        <v>25</v>
      </c>
      <c r="AF21" s="277" t="s">
        <v>26</v>
      </c>
      <c r="AG21" s="277" t="s">
        <v>24</v>
      </c>
      <c r="AH21" s="277" t="s">
        <v>25</v>
      </c>
      <c r="AI21" s="277" t="s">
        <v>26</v>
      </c>
      <c r="AJ21" s="277" t="s">
        <v>24</v>
      </c>
      <c r="AK21" s="277" t="s">
        <v>25</v>
      </c>
      <c r="AL21" s="277" t="s">
        <v>26</v>
      </c>
      <c r="AM21" s="306" t="s">
        <v>23</v>
      </c>
      <c r="AN21" s="274" t="s">
        <v>27</v>
      </c>
      <c r="AO21" s="274" t="s">
        <v>28</v>
      </c>
      <c r="AP21" s="306" t="s">
        <v>29</v>
      </c>
      <c r="BD21" s="125" t="s">
        <v>30</v>
      </c>
    </row>
    <row r="22" spans="2:56">
      <c r="B22" s="174"/>
      <c r="C22" s="175"/>
      <c r="D22" s="176"/>
      <c r="E22" s="177"/>
      <c r="F22" s="178"/>
      <c r="G22" s="179"/>
      <c r="H22" s="180" t="s">
        <v>107</v>
      </c>
      <c r="I22" s="183" t="s">
        <v>108</v>
      </c>
      <c r="J22" s="133" t="s">
        <v>109</v>
      </c>
      <c r="K22" s="180" t="s">
        <v>107</v>
      </c>
      <c r="L22" s="183" t="s">
        <v>110</v>
      </c>
      <c r="M22" s="133" t="s">
        <v>109</v>
      </c>
      <c r="N22" s="180" t="s">
        <v>107</v>
      </c>
      <c r="O22" s="183" t="s">
        <v>1059</v>
      </c>
      <c r="P22" s="133" t="s">
        <v>109</v>
      </c>
      <c r="Q22" s="264"/>
      <c r="R22" s="275"/>
      <c r="T22" s="288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  <c r="AE22" s="289"/>
      <c r="AF22" s="289"/>
      <c r="AG22" s="289"/>
      <c r="AH22" s="289"/>
      <c r="AI22" s="289"/>
      <c r="AJ22" s="289"/>
      <c r="AK22" s="289"/>
      <c r="AL22" s="289"/>
      <c r="AM22" s="309"/>
      <c r="AN22" s="288"/>
      <c r="AO22" s="288"/>
      <c r="AP22" s="309"/>
    </row>
    <row r="23" spans="2:56" ht="22.95" customHeight="1">
      <c r="B23" s="138">
        <v>4</v>
      </c>
      <c r="C23" s="184" t="s">
        <v>113</v>
      </c>
      <c r="D23" s="140"/>
      <c r="E23" s="141"/>
      <c r="F23" s="185" t="s">
        <v>55</v>
      </c>
      <c r="G23" s="186">
        <f>P23</f>
        <v>1832.52</v>
      </c>
      <c r="H23" s="187">
        <v>1850</v>
      </c>
      <c r="I23" s="187">
        <f>'[50]รถ 10 ล้อ'!I28</f>
        <v>71.59</v>
      </c>
      <c r="J23" s="187">
        <f t="shared" si="0"/>
        <v>1921.59</v>
      </c>
      <c r="K23" s="187">
        <v>1850</v>
      </c>
      <c r="L23" s="187">
        <f>'[50]รถ 10 ล้อ'!M21</f>
        <v>186.8</v>
      </c>
      <c r="M23" s="187">
        <f t="shared" si="1"/>
        <v>2036.8</v>
      </c>
      <c r="N23" s="247">
        <v>1666.66</v>
      </c>
      <c r="O23" s="248">
        <f>'[50]รถ 10 ล้อ'!M15</f>
        <v>165.86</v>
      </c>
      <c r="P23" s="249">
        <f>N23+O23</f>
        <v>1832.52</v>
      </c>
      <c r="Q23" s="290" t="e">
        <f>Q15</f>
        <v>#REF!</v>
      </c>
      <c r="R23" s="278"/>
    </row>
    <row r="24" spans="2:56" ht="22.95" customHeight="1">
      <c r="B24" s="188">
        <v>5</v>
      </c>
      <c r="C24" s="189" t="s">
        <v>114</v>
      </c>
      <c r="D24" s="190"/>
      <c r="E24" s="191"/>
      <c r="F24" s="192" t="s">
        <v>55</v>
      </c>
      <c r="G24" s="193">
        <f>P24</f>
        <v>1938.45</v>
      </c>
      <c r="H24" s="194">
        <v>1950</v>
      </c>
      <c r="I24" s="194">
        <f>I23</f>
        <v>71.59</v>
      </c>
      <c r="J24" s="194">
        <f t="shared" si="0"/>
        <v>2021.59</v>
      </c>
      <c r="K24" s="194">
        <v>1950</v>
      </c>
      <c r="L24" s="194">
        <f>'[50]รถ 10 ล้อ'!M21</f>
        <v>186.8</v>
      </c>
      <c r="M24" s="194">
        <f t="shared" si="1"/>
        <v>2136.8000000000002</v>
      </c>
      <c r="N24" s="250">
        <v>1772.59</v>
      </c>
      <c r="O24" s="251">
        <f>'[50]รถ 10 ล้อ'!M15</f>
        <v>165.86</v>
      </c>
      <c r="P24" s="252">
        <f>N24+O24</f>
        <v>1938.45</v>
      </c>
      <c r="Q24" s="291" t="e">
        <f>#REF!</f>
        <v>#REF!</v>
      </c>
      <c r="R24" s="281"/>
    </row>
    <row r="25" spans="2:56">
      <c r="B25" s="1910" t="s">
        <v>95</v>
      </c>
      <c r="C25" s="1900" t="s">
        <v>96</v>
      </c>
      <c r="D25" s="130"/>
      <c r="E25" s="131"/>
      <c r="F25" s="1863" t="s">
        <v>11</v>
      </c>
      <c r="G25" s="132" t="s">
        <v>12</v>
      </c>
      <c r="H25" s="1858" t="s">
        <v>97</v>
      </c>
      <c r="I25" s="1859"/>
      <c r="J25" s="1859"/>
      <c r="K25" s="1859"/>
      <c r="L25" s="1859"/>
      <c r="M25" s="1860"/>
      <c r="N25" s="1916" t="s">
        <v>98</v>
      </c>
      <c r="O25" s="1917"/>
      <c r="P25" s="1918"/>
      <c r="Q25" s="1906" t="s">
        <v>99</v>
      </c>
      <c r="R25" s="1865" t="s">
        <v>100</v>
      </c>
      <c r="T25" s="274" t="s">
        <v>17</v>
      </c>
      <c r="U25" s="1818" t="s">
        <v>18</v>
      </c>
      <c r="V25" s="1819"/>
      <c r="W25" s="1820"/>
      <c r="X25" s="1821" t="s">
        <v>19</v>
      </c>
      <c r="Y25" s="1822"/>
      <c r="Z25" s="1823"/>
      <c r="AA25" s="1818" t="s">
        <v>18</v>
      </c>
      <c r="AB25" s="1819"/>
      <c r="AC25" s="1820"/>
      <c r="AD25" s="1821" t="s">
        <v>19</v>
      </c>
      <c r="AE25" s="1822"/>
      <c r="AF25" s="1823"/>
      <c r="AG25" s="1818" t="s">
        <v>18</v>
      </c>
      <c r="AH25" s="1819"/>
      <c r="AI25" s="1820"/>
      <c r="AJ25" s="1821" t="s">
        <v>19</v>
      </c>
      <c r="AK25" s="1822"/>
      <c r="AL25" s="1823"/>
      <c r="AM25" s="306" t="s">
        <v>20</v>
      </c>
      <c r="AN25" s="274" t="s">
        <v>8</v>
      </c>
      <c r="AO25" s="274" t="s">
        <v>21</v>
      </c>
      <c r="AP25" s="306" t="s">
        <v>22</v>
      </c>
    </row>
    <row r="26" spans="2:56">
      <c r="B26" s="1911"/>
      <c r="C26" s="1868"/>
      <c r="D26" s="134"/>
      <c r="E26" s="135"/>
      <c r="F26" s="1864"/>
      <c r="G26" s="137" t="s">
        <v>31</v>
      </c>
      <c r="H26" s="1868" t="s">
        <v>115</v>
      </c>
      <c r="I26" s="1870"/>
      <c r="J26" s="1868" t="s">
        <v>1060</v>
      </c>
      <c r="K26" s="1870"/>
      <c r="L26" s="1868" t="s">
        <v>102</v>
      </c>
      <c r="M26" s="1870"/>
      <c r="N26" s="1871"/>
      <c r="O26" s="1872"/>
      <c r="P26" s="1873"/>
      <c r="Q26" s="1932"/>
      <c r="R26" s="1866"/>
      <c r="T26" s="274" t="s">
        <v>23</v>
      </c>
      <c r="U26" s="277" t="s">
        <v>24</v>
      </c>
      <c r="V26" s="277" t="s">
        <v>25</v>
      </c>
      <c r="W26" s="277" t="s">
        <v>26</v>
      </c>
      <c r="X26" s="277" t="s">
        <v>24</v>
      </c>
      <c r="Y26" s="277" t="s">
        <v>25</v>
      </c>
      <c r="Z26" s="277" t="s">
        <v>26</v>
      </c>
      <c r="AA26" s="277" t="s">
        <v>24</v>
      </c>
      <c r="AB26" s="277" t="s">
        <v>25</v>
      </c>
      <c r="AC26" s="277" t="s">
        <v>26</v>
      </c>
      <c r="AD26" s="277" t="s">
        <v>24</v>
      </c>
      <c r="AE26" s="277" t="s">
        <v>25</v>
      </c>
      <c r="AF26" s="277" t="s">
        <v>26</v>
      </c>
      <c r="AG26" s="277" t="s">
        <v>24</v>
      </c>
      <c r="AH26" s="277" t="s">
        <v>25</v>
      </c>
      <c r="AI26" s="277" t="s">
        <v>26</v>
      </c>
      <c r="AJ26" s="277" t="s">
        <v>24</v>
      </c>
      <c r="AK26" s="277" t="s">
        <v>25</v>
      </c>
      <c r="AL26" s="277" t="s">
        <v>26</v>
      </c>
      <c r="AM26" s="306" t="s">
        <v>23</v>
      </c>
      <c r="AN26" s="274" t="s">
        <v>27</v>
      </c>
      <c r="AO26" s="274" t="s">
        <v>28</v>
      </c>
      <c r="AP26" s="306" t="s">
        <v>29</v>
      </c>
      <c r="BD26" s="125" t="s">
        <v>30</v>
      </c>
    </row>
    <row r="27" spans="2:56" ht="22.95" customHeight="1">
      <c r="B27" s="138">
        <v>6</v>
      </c>
      <c r="C27" s="195" t="s">
        <v>117</v>
      </c>
      <c r="D27" s="196"/>
      <c r="E27" s="141"/>
      <c r="F27" s="142" t="s">
        <v>118</v>
      </c>
      <c r="G27" s="186">
        <f>H27</f>
        <v>23.72</v>
      </c>
      <c r="H27" s="1875">
        <v>23.72</v>
      </c>
      <c r="I27" s="1875"/>
      <c r="J27" s="1876">
        <v>24.68</v>
      </c>
      <c r="K27" s="1877"/>
      <c r="L27" s="1878" t="s">
        <v>102</v>
      </c>
      <c r="M27" s="1879"/>
      <c r="N27" s="243" t="s">
        <v>104</v>
      </c>
      <c r="O27" s="243" t="s">
        <v>104</v>
      </c>
      <c r="P27" s="243" t="s">
        <v>104</v>
      </c>
      <c r="Q27" s="292" t="e">
        <f>#REF!</f>
        <v>#REF!</v>
      </c>
      <c r="R27" s="278"/>
    </row>
    <row r="28" spans="2:56" ht="22.95" customHeight="1">
      <c r="B28" s="197"/>
      <c r="C28" s="198" t="s">
        <v>119</v>
      </c>
      <c r="D28" s="199"/>
      <c r="E28" s="200"/>
      <c r="F28" s="201"/>
      <c r="G28" s="202"/>
      <c r="H28" s="203"/>
      <c r="I28" s="253"/>
      <c r="J28" s="254"/>
      <c r="K28" s="255"/>
      <c r="L28" s="256"/>
      <c r="M28" s="255"/>
      <c r="N28" s="257"/>
      <c r="O28" s="257"/>
      <c r="P28" s="257"/>
      <c r="Q28" s="293"/>
      <c r="R28" s="294"/>
    </row>
    <row r="29" spans="2:56">
      <c r="B29" s="1910" t="s">
        <v>95</v>
      </c>
      <c r="C29" s="1900" t="s">
        <v>96</v>
      </c>
      <c r="D29" s="130"/>
      <c r="E29" s="131"/>
      <c r="F29" s="1863" t="s">
        <v>11</v>
      </c>
      <c r="G29" s="132" t="s">
        <v>12</v>
      </c>
      <c r="H29" s="1858" t="s">
        <v>97</v>
      </c>
      <c r="I29" s="1859"/>
      <c r="J29" s="1859"/>
      <c r="K29" s="1859"/>
      <c r="L29" s="1859"/>
      <c r="M29" s="1860"/>
      <c r="N29" s="1916" t="s">
        <v>98</v>
      </c>
      <c r="O29" s="1917"/>
      <c r="P29" s="1918"/>
      <c r="Q29" s="1906" t="s">
        <v>99</v>
      </c>
      <c r="R29" s="1865" t="s">
        <v>100</v>
      </c>
      <c r="T29" s="274" t="s">
        <v>17</v>
      </c>
      <c r="U29" s="1818" t="s">
        <v>18</v>
      </c>
      <c r="V29" s="1819"/>
      <c r="W29" s="1820"/>
      <c r="X29" s="1821" t="s">
        <v>19</v>
      </c>
      <c r="Y29" s="1822"/>
      <c r="Z29" s="1823"/>
      <c r="AA29" s="1818" t="s">
        <v>18</v>
      </c>
      <c r="AB29" s="1819"/>
      <c r="AC29" s="1820"/>
      <c r="AD29" s="1821" t="s">
        <v>19</v>
      </c>
      <c r="AE29" s="1822"/>
      <c r="AF29" s="1823"/>
      <c r="AG29" s="1818" t="s">
        <v>18</v>
      </c>
      <c r="AH29" s="1819"/>
      <c r="AI29" s="1820"/>
      <c r="AJ29" s="1821" t="s">
        <v>19</v>
      </c>
      <c r="AK29" s="1822"/>
      <c r="AL29" s="1823"/>
      <c r="AM29" s="306" t="s">
        <v>20</v>
      </c>
      <c r="AN29" s="274" t="s">
        <v>8</v>
      </c>
      <c r="AO29" s="274" t="s">
        <v>21</v>
      </c>
      <c r="AP29" s="306" t="s">
        <v>22</v>
      </c>
    </row>
    <row r="30" spans="2:56">
      <c r="B30" s="1911"/>
      <c r="C30" s="1868"/>
      <c r="D30" s="134"/>
      <c r="E30" s="135"/>
      <c r="F30" s="1864"/>
      <c r="G30" s="137" t="s">
        <v>31</v>
      </c>
      <c r="H30" s="1868" t="s">
        <v>84</v>
      </c>
      <c r="I30" s="1870"/>
      <c r="J30" s="1868" t="s">
        <v>115</v>
      </c>
      <c r="K30" s="1870"/>
      <c r="L30" s="1868" t="s">
        <v>102</v>
      </c>
      <c r="M30" s="1870"/>
      <c r="N30" s="1871"/>
      <c r="O30" s="1872"/>
      <c r="P30" s="1873"/>
      <c r="Q30" s="1932"/>
      <c r="R30" s="1866"/>
      <c r="T30" s="274" t="s">
        <v>23</v>
      </c>
      <c r="U30" s="277" t="s">
        <v>24</v>
      </c>
      <c r="V30" s="277" t="s">
        <v>25</v>
      </c>
      <c r="W30" s="277" t="s">
        <v>26</v>
      </c>
      <c r="X30" s="277" t="s">
        <v>24</v>
      </c>
      <c r="Y30" s="277" t="s">
        <v>25</v>
      </c>
      <c r="Z30" s="277" t="s">
        <v>26</v>
      </c>
      <c r="AA30" s="277" t="s">
        <v>24</v>
      </c>
      <c r="AB30" s="277" t="s">
        <v>25</v>
      </c>
      <c r="AC30" s="277" t="s">
        <v>26</v>
      </c>
      <c r="AD30" s="277" t="s">
        <v>24</v>
      </c>
      <c r="AE30" s="277" t="s">
        <v>25</v>
      </c>
      <c r="AF30" s="277" t="s">
        <v>26</v>
      </c>
      <c r="AG30" s="277" t="s">
        <v>24</v>
      </c>
      <c r="AH30" s="277" t="s">
        <v>25</v>
      </c>
      <c r="AI30" s="277" t="s">
        <v>26</v>
      </c>
      <c r="AJ30" s="277" t="s">
        <v>24</v>
      </c>
      <c r="AK30" s="277" t="s">
        <v>25</v>
      </c>
      <c r="AL30" s="277" t="s">
        <v>26</v>
      </c>
      <c r="AM30" s="306" t="s">
        <v>23</v>
      </c>
      <c r="AN30" s="274" t="s">
        <v>27</v>
      </c>
      <c r="AO30" s="274" t="s">
        <v>28</v>
      </c>
      <c r="AP30" s="306" t="s">
        <v>29</v>
      </c>
      <c r="BD30" s="125" t="s">
        <v>30</v>
      </c>
    </row>
    <row r="31" spans="2:56" ht="22.95" customHeight="1">
      <c r="B31" s="164">
        <v>7</v>
      </c>
      <c r="C31" s="165" t="s">
        <v>120</v>
      </c>
      <c r="D31" s="154"/>
      <c r="E31" s="155"/>
      <c r="F31" s="156" t="s">
        <v>118</v>
      </c>
      <c r="G31" s="181">
        <f>H31</f>
        <v>31.9444444444444</v>
      </c>
      <c r="H31" s="2161">
        <f>115/(0.6*1.2*5)</f>
        <v>31.9444444444444</v>
      </c>
      <c r="I31" s="2162"/>
      <c r="J31" s="2163">
        <f>23.72/(0.6*1.2)</f>
        <v>32.9444444444444</v>
      </c>
      <c r="K31" s="2163"/>
      <c r="L31" s="1878" t="s">
        <v>102</v>
      </c>
      <c r="M31" s="1879"/>
      <c r="N31" s="243" t="s">
        <v>104</v>
      </c>
      <c r="O31" s="243" t="s">
        <v>104</v>
      </c>
      <c r="P31" s="243" t="s">
        <v>104</v>
      </c>
      <c r="Q31" s="295" t="e">
        <f>#REF!</f>
        <v>#REF!</v>
      </c>
      <c r="R31" s="286"/>
    </row>
    <row r="32" spans="2:56">
      <c r="B32" s="1910" t="s">
        <v>95</v>
      </c>
      <c r="C32" s="1900" t="s">
        <v>96</v>
      </c>
      <c r="D32" s="130"/>
      <c r="E32" s="131"/>
      <c r="F32" s="1863" t="s">
        <v>11</v>
      </c>
      <c r="G32" s="132" t="s">
        <v>12</v>
      </c>
      <c r="H32" s="1858" t="s">
        <v>97</v>
      </c>
      <c r="I32" s="1859"/>
      <c r="J32" s="1859"/>
      <c r="K32" s="1859"/>
      <c r="L32" s="1859"/>
      <c r="M32" s="1860"/>
      <c r="N32" s="1916" t="s">
        <v>98</v>
      </c>
      <c r="O32" s="1917"/>
      <c r="P32" s="1918"/>
      <c r="Q32" s="1906" t="s">
        <v>99</v>
      </c>
      <c r="R32" s="1865" t="s">
        <v>100</v>
      </c>
      <c r="T32" s="274" t="s">
        <v>17</v>
      </c>
      <c r="U32" s="1818" t="s">
        <v>18</v>
      </c>
      <c r="V32" s="1819"/>
      <c r="W32" s="1820"/>
      <c r="X32" s="1821" t="s">
        <v>19</v>
      </c>
      <c r="Y32" s="1822"/>
      <c r="Z32" s="1823"/>
      <c r="AA32" s="1818" t="s">
        <v>18</v>
      </c>
      <c r="AB32" s="1819"/>
      <c r="AC32" s="1820"/>
      <c r="AD32" s="1821" t="s">
        <v>19</v>
      </c>
      <c r="AE32" s="1822"/>
      <c r="AF32" s="1823"/>
      <c r="AG32" s="1818" t="s">
        <v>18</v>
      </c>
      <c r="AH32" s="1819"/>
      <c r="AI32" s="1820"/>
      <c r="AJ32" s="1821" t="s">
        <v>19</v>
      </c>
      <c r="AK32" s="1822"/>
      <c r="AL32" s="1823"/>
      <c r="AM32" s="306" t="s">
        <v>20</v>
      </c>
      <c r="AN32" s="274" t="s">
        <v>8</v>
      </c>
      <c r="AO32" s="274" t="s">
        <v>21</v>
      </c>
      <c r="AP32" s="306" t="s">
        <v>22</v>
      </c>
    </row>
    <row r="33" spans="1:56">
      <c r="B33" s="1911"/>
      <c r="C33" s="1868"/>
      <c r="D33" s="134"/>
      <c r="E33" s="135"/>
      <c r="F33" s="1864"/>
      <c r="G33" s="137" t="s">
        <v>31</v>
      </c>
      <c r="H33" s="1868" t="s">
        <v>121</v>
      </c>
      <c r="I33" s="1870"/>
      <c r="J33" s="1868" t="s">
        <v>122</v>
      </c>
      <c r="K33" s="1870"/>
      <c r="L33" s="1868" t="s">
        <v>102</v>
      </c>
      <c r="M33" s="1870"/>
      <c r="N33" s="1871"/>
      <c r="O33" s="1872"/>
      <c r="P33" s="1873"/>
      <c r="Q33" s="1932"/>
      <c r="R33" s="1866"/>
      <c r="T33" s="274" t="s">
        <v>23</v>
      </c>
      <c r="U33" s="277" t="s">
        <v>24</v>
      </c>
      <c r="V33" s="277" t="s">
        <v>25</v>
      </c>
      <c r="W33" s="277" t="s">
        <v>26</v>
      </c>
      <c r="X33" s="277" t="s">
        <v>24</v>
      </c>
      <c r="Y33" s="277" t="s">
        <v>25</v>
      </c>
      <c r="Z33" s="277" t="s">
        <v>26</v>
      </c>
      <c r="AA33" s="277" t="s">
        <v>24</v>
      </c>
      <c r="AB33" s="277" t="s">
        <v>25</v>
      </c>
      <c r="AC33" s="277" t="s">
        <v>26</v>
      </c>
      <c r="AD33" s="277" t="s">
        <v>24</v>
      </c>
      <c r="AE33" s="277" t="s">
        <v>25</v>
      </c>
      <c r="AF33" s="277" t="s">
        <v>26</v>
      </c>
      <c r="AG33" s="277" t="s">
        <v>24</v>
      </c>
      <c r="AH33" s="277" t="s">
        <v>25</v>
      </c>
      <c r="AI33" s="277" t="s">
        <v>26</v>
      </c>
      <c r="AJ33" s="277" t="s">
        <v>24</v>
      </c>
      <c r="AK33" s="277" t="s">
        <v>25</v>
      </c>
      <c r="AL33" s="277" t="s">
        <v>26</v>
      </c>
      <c r="AM33" s="306" t="s">
        <v>23</v>
      </c>
      <c r="AN33" s="274" t="s">
        <v>27</v>
      </c>
      <c r="AO33" s="274" t="s">
        <v>28</v>
      </c>
      <c r="AP33" s="306" t="s">
        <v>29</v>
      </c>
      <c r="BD33" s="125" t="s">
        <v>30</v>
      </c>
    </row>
    <row r="34" spans="1:56" ht="22.95" customHeight="1">
      <c r="B34" s="138">
        <v>8</v>
      </c>
      <c r="C34" s="196" t="s">
        <v>123</v>
      </c>
      <c r="D34" s="140"/>
      <c r="E34" s="141"/>
      <c r="F34" s="142" t="s">
        <v>124</v>
      </c>
      <c r="G34" s="186">
        <f>H34</f>
        <v>1470</v>
      </c>
      <c r="H34" s="1883">
        <v>1470</v>
      </c>
      <c r="I34" s="1884"/>
      <c r="J34" s="1885">
        <v>1535</v>
      </c>
      <c r="K34" s="1885"/>
      <c r="L34" s="1878" t="s">
        <v>102</v>
      </c>
      <c r="M34" s="1879"/>
      <c r="N34" s="243" t="s">
        <v>104</v>
      </c>
      <c r="O34" s="243" t="s">
        <v>104</v>
      </c>
      <c r="P34" s="243" t="s">
        <v>104</v>
      </c>
      <c r="Q34" s="292" t="e">
        <f>#REF!</f>
        <v>#REF!</v>
      </c>
      <c r="R34" s="278"/>
    </row>
    <row r="35" spans="1:56" ht="22.95" customHeight="1">
      <c r="B35" s="188"/>
      <c r="C35" s="190" t="s">
        <v>125</v>
      </c>
      <c r="D35" s="190"/>
      <c r="E35" s="190"/>
      <c r="F35" s="204"/>
      <c r="G35" s="205"/>
      <c r="H35" s="206"/>
      <c r="I35" s="258"/>
      <c r="J35" s="259"/>
      <c r="K35" s="260"/>
      <c r="L35" s="261"/>
      <c r="M35" s="262"/>
      <c r="N35" s="263"/>
      <c r="O35" s="263"/>
      <c r="P35" s="263"/>
      <c r="Q35" s="296"/>
      <c r="R35" s="297"/>
    </row>
    <row r="36" spans="1:56">
      <c r="B36" s="1910" t="s">
        <v>95</v>
      </c>
      <c r="C36" s="1900" t="s">
        <v>96</v>
      </c>
      <c r="D36" s="130"/>
      <c r="E36" s="131"/>
      <c r="F36" s="1863" t="s">
        <v>11</v>
      </c>
      <c r="G36" s="132" t="s">
        <v>12</v>
      </c>
      <c r="H36" s="1858" t="s">
        <v>97</v>
      </c>
      <c r="I36" s="1859"/>
      <c r="J36" s="1859"/>
      <c r="K36" s="1859"/>
      <c r="L36" s="1859"/>
      <c r="M36" s="1860"/>
      <c r="N36" s="1886" t="s">
        <v>98</v>
      </c>
      <c r="O36" s="1887"/>
      <c r="P36" s="1888"/>
      <c r="Q36" s="1906" t="s">
        <v>99</v>
      </c>
      <c r="R36" s="1865" t="s">
        <v>100</v>
      </c>
      <c r="T36" s="274" t="s">
        <v>17</v>
      </c>
      <c r="U36" s="1818" t="s">
        <v>18</v>
      </c>
      <c r="V36" s="1819"/>
      <c r="W36" s="1820"/>
      <c r="X36" s="1821" t="s">
        <v>19</v>
      </c>
      <c r="Y36" s="1822"/>
      <c r="Z36" s="1823"/>
      <c r="AA36" s="1818" t="s">
        <v>18</v>
      </c>
      <c r="AB36" s="1819"/>
      <c r="AC36" s="1820"/>
      <c r="AD36" s="1821" t="s">
        <v>19</v>
      </c>
      <c r="AE36" s="1822"/>
      <c r="AF36" s="1823"/>
      <c r="AG36" s="1818" t="s">
        <v>18</v>
      </c>
      <c r="AH36" s="1819"/>
      <c r="AI36" s="1820"/>
      <c r="AJ36" s="1821" t="s">
        <v>19</v>
      </c>
      <c r="AK36" s="1822"/>
      <c r="AL36" s="1823"/>
      <c r="AM36" s="306" t="s">
        <v>20</v>
      </c>
      <c r="AN36" s="274" t="s">
        <v>8</v>
      </c>
      <c r="AO36" s="274" t="s">
        <v>21</v>
      </c>
      <c r="AP36" s="306" t="s">
        <v>22</v>
      </c>
    </row>
    <row r="37" spans="1:56">
      <c r="B37" s="1911"/>
      <c r="C37" s="1868"/>
      <c r="D37" s="134"/>
      <c r="E37" s="135"/>
      <c r="F37" s="1864"/>
      <c r="G37" s="137" t="s">
        <v>31</v>
      </c>
      <c r="H37" s="1868" t="s">
        <v>104</v>
      </c>
      <c r="I37" s="1870"/>
      <c r="J37" s="1868" t="s">
        <v>104</v>
      </c>
      <c r="K37" s="1870"/>
      <c r="L37" s="1868" t="s">
        <v>102</v>
      </c>
      <c r="M37" s="1870"/>
      <c r="N37" s="264" t="s">
        <v>126</v>
      </c>
      <c r="O37" s="240" t="s">
        <v>127</v>
      </c>
      <c r="P37" s="228" t="s">
        <v>104</v>
      </c>
      <c r="Q37" s="1932"/>
      <c r="R37" s="1866"/>
      <c r="T37" s="274" t="s">
        <v>23</v>
      </c>
      <c r="U37" s="277" t="s">
        <v>24</v>
      </c>
      <c r="V37" s="277" t="s">
        <v>25</v>
      </c>
      <c r="W37" s="277" t="s">
        <v>26</v>
      </c>
      <c r="X37" s="277" t="s">
        <v>24</v>
      </c>
      <c r="Y37" s="277" t="s">
        <v>25</v>
      </c>
      <c r="Z37" s="277" t="s">
        <v>26</v>
      </c>
      <c r="AA37" s="277" t="s">
        <v>24</v>
      </c>
      <c r="AB37" s="277" t="s">
        <v>25</v>
      </c>
      <c r="AC37" s="277" t="s">
        <v>26</v>
      </c>
      <c r="AD37" s="277" t="s">
        <v>24</v>
      </c>
      <c r="AE37" s="277" t="s">
        <v>25</v>
      </c>
      <c r="AF37" s="277" t="s">
        <v>26</v>
      </c>
      <c r="AG37" s="277" t="s">
        <v>24</v>
      </c>
      <c r="AH37" s="277" t="s">
        <v>25</v>
      </c>
      <c r="AI37" s="277" t="s">
        <v>26</v>
      </c>
      <c r="AJ37" s="277" t="s">
        <v>24</v>
      </c>
      <c r="AK37" s="277" t="s">
        <v>25</v>
      </c>
      <c r="AL37" s="277" t="s">
        <v>26</v>
      </c>
      <c r="AM37" s="306" t="s">
        <v>23</v>
      </c>
      <c r="AN37" s="274" t="s">
        <v>27</v>
      </c>
      <c r="AO37" s="274" t="s">
        <v>28</v>
      </c>
      <c r="AP37" s="306" t="s">
        <v>29</v>
      </c>
      <c r="BD37" s="125" t="s">
        <v>30</v>
      </c>
    </row>
    <row r="38" spans="1:56" ht="22.95" customHeight="1">
      <c r="B38" s="138">
        <v>9</v>
      </c>
      <c r="C38" s="196" t="s">
        <v>128</v>
      </c>
      <c r="D38" s="140"/>
      <c r="E38" s="141"/>
      <c r="F38" s="142" t="s">
        <v>124</v>
      </c>
      <c r="G38" s="207">
        <f>N38</f>
        <v>653.27</v>
      </c>
      <c r="H38" s="1878" t="s">
        <v>102</v>
      </c>
      <c r="I38" s="1879"/>
      <c r="J38" s="1878" t="s">
        <v>102</v>
      </c>
      <c r="K38" s="1879"/>
      <c r="L38" s="1878" t="s">
        <v>102</v>
      </c>
      <c r="M38" s="1879"/>
      <c r="N38" s="265">
        <v>653.27</v>
      </c>
      <c r="O38" s="266" t="s">
        <v>104</v>
      </c>
      <c r="P38" s="266" t="s">
        <v>104</v>
      </c>
      <c r="Q38" s="292" t="e">
        <f>#REF!</f>
        <v>#REF!</v>
      </c>
      <c r="R38" s="278"/>
    </row>
    <row r="39" spans="1:56" ht="22.95" customHeight="1">
      <c r="B39" s="188"/>
      <c r="C39" s="190" t="s">
        <v>129</v>
      </c>
      <c r="D39" s="190"/>
      <c r="E39" s="190"/>
      <c r="F39" s="204"/>
      <c r="G39" s="205"/>
      <c r="H39" s="206"/>
      <c r="I39" s="258"/>
      <c r="J39" s="259"/>
      <c r="K39" s="260"/>
      <c r="L39" s="261"/>
      <c r="M39" s="262"/>
      <c r="N39" s="263"/>
      <c r="O39" s="263"/>
      <c r="P39" s="263"/>
      <c r="Q39" s="296"/>
      <c r="R39" s="297"/>
    </row>
    <row r="40" spans="1:56">
      <c r="B40" s="1910" t="s">
        <v>95</v>
      </c>
      <c r="C40" s="1900" t="s">
        <v>96</v>
      </c>
      <c r="D40" s="130"/>
      <c r="E40" s="131"/>
      <c r="F40" s="1863" t="s">
        <v>11</v>
      </c>
      <c r="G40" s="132" t="s">
        <v>12</v>
      </c>
      <c r="H40" s="1858" t="s">
        <v>97</v>
      </c>
      <c r="I40" s="1859"/>
      <c r="J40" s="1859"/>
      <c r="K40" s="1859"/>
      <c r="L40" s="1859"/>
      <c r="M40" s="1860"/>
      <c r="N40" s="1886" t="s">
        <v>98</v>
      </c>
      <c r="O40" s="1887"/>
      <c r="P40" s="1888"/>
      <c r="Q40" s="1906" t="s">
        <v>99</v>
      </c>
      <c r="R40" s="1865" t="s">
        <v>100</v>
      </c>
      <c r="T40" s="274" t="s">
        <v>17</v>
      </c>
      <c r="U40" s="1818" t="s">
        <v>18</v>
      </c>
      <c r="V40" s="1819"/>
      <c r="W40" s="1820"/>
      <c r="X40" s="1821" t="s">
        <v>19</v>
      </c>
      <c r="Y40" s="1822"/>
      <c r="Z40" s="1823"/>
      <c r="AA40" s="1818" t="s">
        <v>18</v>
      </c>
      <c r="AB40" s="1819"/>
      <c r="AC40" s="1820"/>
      <c r="AD40" s="1821" t="s">
        <v>19</v>
      </c>
      <c r="AE40" s="1822"/>
      <c r="AF40" s="1823"/>
      <c r="AG40" s="1818" t="s">
        <v>18</v>
      </c>
      <c r="AH40" s="1819"/>
      <c r="AI40" s="1820"/>
      <c r="AJ40" s="1821" t="s">
        <v>19</v>
      </c>
      <c r="AK40" s="1822"/>
      <c r="AL40" s="1823"/>
      <c r="AM40" s="306" t="s">
        <v>20</v>
      </c>
      <c r="AN40" s="274" t="s">
        <v>8</v>
      </c>
      <c r="AO40" s="274" t="s">
        <v>21</v>
      </c>
      <c r="AP40" s="306" t="s">
        <v>22</v>
      </c>
    </row>
    <row r="41" spans="1:56">
      <c r="B41" s="1912"/>
      <c r="C41" s="1904"/>
      <c r="D41" s="170"/>
      <c r="E41" s="171"/>
      <c r="F41" s="1928"/>
      <c r="G41" s="173" t="s">
        <v>31</v>
      </c>
      <c r="H41" s="1904" t="s">
        <v>116</v>
      </c>
      <c r="I41" s="1905"/>
      <c r="J41" s="1904" t="s">
        <v>1052</v>
      </c>
      <c r="K41" s="1905"/>
      <c r="L41" s="1904" t="s">
        <v>102</v>
      </c>
      <c r="M41" s="1905"/>
      <c r="N41" s="267" t="s">
        <v>126</v>
      </c>
      <c r="O41" s="267" t="s">
        <v>104</v>
      </c>
      <c r="P41" s="267" t="s">
        <v>104</v>
      </c>
      <c r="Q41" s="1907"/>
      <c r="R41" s="1874"/>
      <c r="T41" s="274" t="s">
        <v>23</v>
      </c>
      <c r="U41" s="277" t="s">
        <v>24</v>
      </c>
      <c r="V41" s="277" t="s">
        <v>25</v>
      </c>
      <c r="W41" s="277" t="s">
        <v>26</v>
      </c>
      <c r="X41" s="277" t="s">
        <v>24</v>
      </c>
      <c r="Y41" s="277" t="s">
        <v>25</v>
      </c>
      <c r="Z41" s="277" t="s">
        <v>26</v>
      </c>
      <c r="AA41" s="277" t="s">
        <v>24</v>
      </c>
      <c r="AB41" s="277" t="s">
        <v>25</v>
      </c>
      <c r="AC41" s="277" t="s">
        <v>26</v>
      </c>
      <c r="AD41" s="277" t="s">
        <v>24</v>
      </c>
      <c r="AE41" s="277" t="s">
        <v>25</v>
      </c>
      <c r="AF41" s="277" t="s">
        <v>26</v>
      </c>
      <c r="AG41" s="277" t="s">
        <v>24</v>
      </c>
      <c r="AH41" s="277" t="s">
        <v>25</v>
      </c>
      <c r="AI41" s="277" t="s">
        <v>26</v>
      </c>
      <c r="AJ41" s="277" t="s">
        <v>24</v>
      </c>
      <c r="AK41" s="277" t="s">
        <v>25</v>
      </c>
      <c r="AL41" s="277" t="s">
        <v>26</v>
      </c>
      <c r="AM41" s="306" t="s">
        <v>23</v>
      </c>
      <c r="AN41" s="274" t="s">
        <v>27</v>
      </c>
      <c r="AO41" s="274" t="s">
        <v>28</v>
      </c>
      <c r="AP41" s="306" t="s">
        <v>29</v>
      </c>
      <c r="BD41" s="125" t="s">
        <v>30</v>
      </c>
    </row>
    <row r="42" spans="1:56" ht="22.95" customHeight="1">
      <c r="B42" s="208">
        <v>10</v>
      </c>
      <c r="C42" s="209" t="s">
        <v>141</v>
      </c>
      <c r="D42" s="209"/>
      <c r="E42" s="209"/>
      <c r="F42" s="210" t="s">
        <v>118</v>
      </c>
      <c r="G42" s="211">
        <f>H42</f>
        <v>930</v>
      </c>
      <c r="H42" s="1894">
        <v>930</v>
      </c>
      <c r="I42" s="1894"/>
      <c r="J42" s="1895">
        <v>971</v>
      </c>
      <c r="K42" s="1895"/>
      <c r="L42" s="1896" t="s">
        <v>102</v>
      </c>
      <c r="M42" s="1897"/>
      <c r="N42" s="269" t="s">
        <v>102</v>
      </c>
      <c r="O42" s="269" t="s">
        <v>102</v>
      </c>
      <c r="P42" s="269" t="s">
        <v>102</v>
      </c>
      <c r="Q42" s="268"/>
      <c r="R42" s="298"/>
    </row>
    <row r="43" spans="1:56" ht="22.95" customHeight="1">
      <c r="B43" s="145"/>
      <c r="C43" s="146" t="s">
        <v>142</v>
      </c>
      <c r="D43" s="147"/>
      <c r="E43" s="148"/>
      <c r="F43" s="149"/>
      <c r="G43" s="212"/>
      <c r="H43" s="213"/>
      <c r="I43" s="270"/>
      <c r="J43" s="236"/>
      <c r="K43" s="235"/>
      <c r="L43" s="1892" t="s">
        <v>102</v>
      </c>
      <c r="M43" s="1893"/>
      <c r="N43" s="234" t="s">
        <v>102</v>
      </c>
      <c r="O43" s="234" t="s">
        <v>102</v>
      </c>
      <c r="P43" s="234" t="s">
        <v>102</v>
      </c>
      <c r="Q43" s="233"/>
      <c r="R43" s="299"/>
    </row>
    <row r="44" spans="1:56" ht="22.95" customHeight="1">
      <c r="B44" s="145">
        <v>11</v>
      </c>
      <c r="C44" s="146" t="s">
        <v>143</v>
      </c>
      <c r="D44" s="147"/>
      <c r="E44" s="148"/>
      <c r="F44" s="149" t="s">
        <v>133</v>
      </c>
      <c r="G44" s="150">
        <f>I44</f>
        <v>332</v>
      </c>
      <c r="H44" s="151"/>
      <c r="I44" s="237">
        <v>332</v>
      </c>
      <c r="J44" s="236"/>
      <c r="K44" s="235">
        <v>342</v>
      </c>
      <c r="L44" s="1892" t="s">
        <v>102</v>
      </c>
      <c r="M44" s="1893"/>
      <c r="N44" s="234" t="s">
        <v>102</v>
      </c>
      <c r="O44" s="234" t="s">
        <v>102</v>
      </c>
      <c r="P44" s="234" t="s">
        <v>102</v>
      </c>
      <c r="Q44" s="233"/>
      <c r="R44" s="299"/>
    </row>
    <row r="45" spans="1:56" ht="22.95" customHeight="1">
      <c r="B45" s="188">
        <v>12</v>
      </c>
      <c r="C45" s="214" t="s">
        <v>144</v>
      </c>
      <c r="D45" s="190"/>
      <c r="E45" s="191"/>
      <c r="F45" s="204" t="s">
        <v>133</v>
      </c>
      <c r="G45" s="215">
        <f>N45</f>
        <v>157.01</v>
      </c>
      <c r="H45" s="1898" t="s">
        <v>102</v>
      </c>
      <c r="I45" s="1899"/>
      <c r="J45" s="1898" t="s">
        <v>102</v>
      </c>
      <c r="K45" s="1899"/>
      <c r="L45" s="1898" t="s">
        <v>102</v>
      </c>
      <c r="M45" s="1899"/>
      <c r="N45" s="215">
        <v>157.01</v>
      </c>
      <c r="O45" s="239" t="s">
        <v>102</v>
      </c>
      <c r="P45" s="239" t="s">
        <v>102</v>
      </c>
      <c r="Q45" s="300"/>
      <c r="R45" s="281"/>
    </row>
    <row r="46" spans="1:56" customFormat="1">
      <c r="A46" s="125"/>
      <c r="B46" s="1910" t="s">
        <v>95</v>
      </c>
      <c r="C46" s="1900" t="s">
        <v>96</v>
      </c>
      <c r="D46" s="130"/>
      <c r="E46" s="131"/>
      <c r="F46" s="1863" t="s">
        <v>11</v>
      </c>
      <c r="G46" s="132" t="s">
        <v>12</v>
      </c>
      <c r="H46" s="1858" t="s">
        <v>97</v>
      </c>
      <c r="I46" s="1859"/>
      <c r="J46" s="1859"/>
      <c r="K46" s="1859"/>
      <c r="L46" s="1859"/>
      <c r="M46" s="1860"/>
      <c r="N46" s="1886" t="s">
        <v>98</v>
      </c>
      <c r="O46" s="1887"/>
      <c r="P46" s="1888"/>
      <c r="Q46" s="1906" t="s">
        <v>99</v>
      </c>
      <c r="R46" s="1865" t="s">
        <v>100</v>
      </c>
      <c r="S46" s="125"/>
      <c r="T46" s="274" t="s">
        <v>17</v>
      </c>
      <c r="U46" s="1818" t="s">
        <v>18</v>
      </c>
      <c r="V46" s="1819"/>
      <c r="W46" s="1820"/>
      <c r="X46" s="1821" t="s">
        <v>19</v>
      </c>
      <c r="Y46" s="1822"/>
      <c r="Z46" s="1823"/>
      <c r="AA46" s="1818" t="s">
        <v>18</v>
      </c>
      <c r="AB46" s="1819"/>
      <c r="AC46" s="1820"/>
      <c r="AD46" s="1821" t="s">
        <v>19</v>
      </c>
      <c r="AE46" s="1822"/>
      <c r="AF46" s="1823"/>
      <c r="AG46" s="1818" t="s">
        <v>18</v>
      </c>
      <c r="AH46" s="1819"/>
      <c r="AI46" s="1820"/>
      <c r="AJ46" s="1821" t="s">
        <v>19</v>
      </c>
      <c r="AK46" s="1822"/>
      <c r="AL46" s="1823"/>
      <c r="AM46" s="306" t="s">
        <v>20</v>
      </c>
      <c r="AN46" s="274" t="s">
        <v>8</v>
      </c>
      <c r="AO46" s="274" t="s">
        <v>21</v>
      </c>
      <c r="AP46" s="306" t="s">
        <v>22</v>
      </c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</row>
    <row r="47" spans="1:56" customFormat="1">
      <c r="A47" s="125"/>
      <c r="B47" s="1912"/>
      <c r="C47" s="1904"/>
      <c r="D47" s="170"/>
      <c r="E47" s="171"/>
      <c r="F47" s="1928"/>
      <c r="G47" s="173" t="s">
        <v>31</v>
      </c>
      <c r="H47" s="1904" t="s">
        <v>1061</v>
      </c>
      <c r="I47" s="1905"/>
      <c r="J47" s="1904" t="s">
        <v>1062</v>
      </c>
      <c r="K47" s="1905"/>
      <c r="L47" s="1904" t="s">
        <v>102</v>
      </c>
      <c r="M47" s="1905"/>
      <c r="N47" s="267" t="s">
        <v>126</v>
      </c>
      <c r="O47" s="267" t="s">
        <v>104</v>
      </c>
      <c r="P47" s="267" t="s">
        <v>104</v>
      </c>
      <c r="Q47" s="1907"/>
      <c r="R47" s="1874"/>
      <c r="S47" s="125"/>
      <c r="T47" s="274" t="s">
        <v>23</v>
      </c>
      <c r="U47" s="277" t="s">
        <v>24</v>
      </c>
      <c r="V47" s="277" t="s">
        <v>25</v>
      </c>
      <c r="W47" s="277" t="s">
        <v>26</v>
      </c>
      <c r="X47" s="277" t="s">
        <v>24</v>
      </c>
      <c r="Y47" s="277" t="s">
        <v>25</v>
      </c>
      <c r="Z47" s="277" t="s">
        <v>26</v>
      </c>
      <c r="AA47" s="277" t="s">
        <v>24</v>
      </c>
      <c r="AB47" s="277" t="s">
        <v>25</v>
      </c>
      <c r="AC47" s="277" t="s">
        <v>26</v>
      </c>
      <c r="AD47" s="277" t="s">
        <v>24</v>
      </c>
      <c r="AE47" s="277" t="s">
        <v>25</v>
      </c>
      <c r="AF47" s="277" t="s">
        <v>26</v>
      </c>
      <c r="AG47" s="277" t="s">
        <v>24</v>
      </c>
      <c r="AH47" s="277" t="s">
        <v>25</v>
      </c>
      <c r="AI47" s="277" t="s">
        <v>26</v>
      </c>
      <c r="AJ47" s="277" t="s">
        <v>24</v>
      </c>
      <c r="AK47" s="277" t="s">
        <v>25</v>
      </c>
      <c r="AL47" s="277" t="s">
        <v>26</v>
      </c>
      <c r="AM47" s="306" t="s">
        <v>23</v>
      </c>
      <c r="AN47" s="274" t="s">
        <v>27</v>
      </c>
      <c r="AO47" s="274" t="s">
        <v>28</v>
      </c>
      <c r="AP47" s="306" t="s">
        <v>29</v>
      </c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 t="s">
        <v>30</v>
      </c>
    </row>
    <row r="48" spans="1:56" customFormat="1" ht="22.95" customHeight="1">
      <c r="A48" s="125"/>
      <c r="B48" s="208">
        <v>13</v>
      </c>
      <c r="C48" s="209" t="s">
        <v>1063</v>
      </c>
      <c r="D48" s="209"/>
      <c r="E48" s="209"/>
      <c r="F48" s="210" t="s">
        <v>415</v>
      </c>
      <c r="G48" s="211">
        <f>H48</f>
        <v>15</v>
      </c>
      <c r="H48" s="1894">
        <v>15</v>
      </c>
      <c r="I48" s="1894"/>
      <c r="J48" s="1895">
        <v>17</v>
      </c>
      <c r="K48" s="1895"/>
      <c r="L48" s="1896" t="s">
        <v>102</v>
      </c>
      <c r="M48" s="1897"/>
      <c r="N48" s="269" t="s">
        <v>102</v>
      </c>
      <c r="O48" s="269" t="s">
        <v>102</v>
      </c>
      <c r="P48" s="269" t="s">
        <v>102</v>
      </c>
      <c r="Q48" s="268"/>
      <c r="R48" s="298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</row>
    <row r="49" spans="1:56" customFormat="1" ht="22.95" customHeight="1">
      <c r="A49" s="125"/>
      <c r="B49" s="145"/>
      <c r="C49" s="146" t="s">
        <v>142</v>
      </c>
      <c r="D49" s="147"/>
      <c r="E49" s="148"/>
      <c r="F49" s="149"/>
      <c r="G49" s="212"/>
      <c r="H49" s="213"/>
      <c r="I49" s="270"/>
      <c r="J49" s="236"/>
      <c r="K49" s="235"/>
      <c r="L49" s="1892" t="s">
        <v>102</v>
      </c>
      <c r="M49" s="1893"/>
      <c r="N49" s="234" t="s">
        <v>102</v>
      </c>
      <c r="O49" s="234" t="s">
        <v>102</v>
      </c>
      <c r="P49" s="234" t="s">
        <v>102</v>
      </c>
      <c r="Q49" s="233"/>
      <c r="R49" s="299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</row>
    <row r="50" spans="1:56" customFormat="1" ht="22.95" customHeight="1">
      <c r="A50" s="125"/>
      <c r="B50" s="145">
        <v>11</v>
      </c>
      <c r="C50" s="146" t="s">
        <v>143</v>
      </c>
      <c r="D50" s="147"/>
      <c r="E50" s="148"/>
      <c r="F50" s="149" t="s">
        <v>133</v>
      </c>
      <c r="G50" s="150">
        <f>I50</f>
        <v>332</v>
      </c>
      <c r="H50" s="151"/>
      <c r="I50" s="237">
        <v>332</v>
      </c>
      <c r="J50" s="236"/>
      <c r="K50" s="235">
        <v>342</v>
      </c>
      <c r="L50" s="1892" t="s">
        <v>102</v>
      </c>
      <c r="M50" s="1893"/>
      <c r="N50" s="234" t="s">
        <v>102</v>
      </c>
      <c r="O50" s="234" t="s">
        <v>102</v>
      </c>
      <c r="P50" s="234" t="s">
        <v>102</v>
      </c>
      <c r="Q50" s="233"/>
      <c r="R50" s="299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</row>
    <row r="51" spans="1:56" customFormat="1" ht="22.95" customHeight="1">
      <c r="A51" s="125"/>
      <c r="B51" s="188">
        <v>12</v>
      </c>
      <c r="C51" s="214" t="s">
        <v>144</v>
      </c>
      <c r="D51" s="190"/>
      <c r="E51" s="191"/>
      <c r="F51" s="204" t="s">
        <v>133</v>
      </c>
      <c r="G51" s="215">
        <f>N51</f>
        <v>157.01</v>
      </c>
      <c r="H51" s="1898" t="s">
        <v>102</v>
      </c>
      <c r="I51" s="1899"/>
      <c r="J51" s="1898" t="s">
        <v>102</v>
      </c>
      <c r="K51" s="1899"/>
      <c r="L51" s="1898" t="s">
        <v>102</v>
      </c>
      <c r="M51" s="1899"/>
      <c r="N51" s="215">
        <v>157.01</v>
      </c>
      <c r="O51" s="239" t="s">
        <v>102</v>
      </c>
      <c r="P51" s="239" t="s">
        <v>102</v>
      </c>
      <c r="Q51" s="300"/>
      <c r="R51" s="281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</row>
    <row r="52" spans="1:56" s="124" customFormat="1" ht="30.6" customHeight="1">
      <c r="A52" s="125"/>
      <c r="B52" s="124" t="s">
        <v>153</v>
      </c>
      <c r="C52" s="216"/>
      <c r="D52" s="216"/>
      <c r="E52" s="216"/>
      <c r="F52" s="217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6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 t="s">
        <v>30</v>
      </c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</row>
    <row r="53" spans="1:56">
      <c r="B53" s="218" t="s">
        <v>1064</v>
      </c>
      <c r="F53" s="219"/>
    </row>
    <row r="54" spans="1:56">
      <c r="B54" s="218"/>
      <c r="C54" s="220"/>
      <c r="D54" s="220"/>
      <c r="E54" s="220"/>
      <c r="N54" s="271"/>
      <c r="O54" s="271"/>
      <c r="P54" s="271"/>
      <c r="Q54" s="301"/>
      <c r="R54" s="302"/>
    </row>
    <row r="55" spans="1:56">
      <c r="B55" s="221"/>
      <c r="N55" s="221"/>
      <c r="O55" s="221"/>
      <c r="P55" s="221"/>
      <c r="Q55" s="303"/>
      <c r="R55" s="221"/>
      <c r="AE55" s="125" t="s">
        <v>30</v>
      </c>
    </row>
    <row r="56" spans="1:56">
      <c r="B56" s="221"/>
      <c r="C56" s="222"/>
      <c r="D56" s="222"/>
      <c r="E56" s="222"/>
      <c r="F56" s="223"/>
      <c r="G56" s="224" t="s">
        <v>1065</v>
      </c>
      <c r="H56" s="124"/>
      <c r="I56" s="124"/>
      <c r="L56" s="224"/>
      <c r="M56" s="224"/>
      <c r="N56" s="124"/>
      <c r="O56" s="124"/>
      <c r="P56" s="124"/>
      <c r="Q56" s="303"/>
      <c r="R56" s="221"/>
    </row>
    <row r="57" spans="1:56" ht="26.4" customHeight="1">
      <c r="B57" s="225"/>
      <c r="C57" s="226"/>
      <c r="D57" s="226"/>
      <c r="E57" s="226"/>
      <c r="F57" s="223"/>
      <c r="G57" s="227" t="s">
        <v>162</v>
      </c>
      <c r="H57" s="124"/>
      <c r="I57" s="124"/>
      <c r="L57" s="272"/>
      <c r="M57" s="272"/>
      <c r="N57" s="124"/>
      <c r="O57" s="124"/>
      <c r="P57" s="124"/>
      <c r="Q57" s="304"/>
      <c r="R57" s="305"/>
    </row>
    <row r="58" spans="1:56" s="124" customFormat="1">
      <c r="B58" s="221"/>
      <c r="C58" s="227"/>
      <c r="D58" s="227"/>
      <c r="E58" s="227"/>
      <c r="F58" s="223"/>
      <c r="G58" s="227" t="s">
        <v>163</v>
      </c>
      <c r="L58" s="272"/>
      <c r="M58" s="272"/>
      <c r="Q58" s="303"/>
      <c r="R58" s="221"/>
    </row>
  </sheetData>
  <sheetProtection selectLockedCells="1"/>
  <mergeCells count="207">
    <mergeCell ref="C25:C26"/>
    <mergeCell ref="C29:C30"/>
    <mergeCell ref="C32:C33"/>
    <mergeCell ref="C36:C37"/>
    <mergeCell ref="C40:C41"/>
    <mergeCell ref="C46:C47"/>
    <mergeCell ref="F5:F6"/>
    <mergeCell ref="F10:F11"/>
    <mergeCell ref="F13:F14"/>
    <mergeCell ref="F16:F17"/>
    <mergeCell ref="F20:F21"/>
    <mergeCell ref="F25:F26"/>
    <mergeCell ref="F29:F30"/>
    <mergeCell ref="F32:F33"/>
    <mergeCell ref="F36:F37"/>
    <mergeCell ref="F40:F41"/>
    <mergeCell ref="F46:F47"/>
    <mergeCell ref="H48:I48"/>
    <mergeCell ref="J48:K48"/>
    <mergeCell ref="L48:M48"/>
    <mergeCell ref="L49:M49"/>
    <mergeCell ref="L50:M50"/>
    <mergeCell ref="H51:I51"/>
    <mergeCell ref="J51:K51"/>
    <mergeCell ref="L51:M51"/>
    <mergeCell ref="B5:B6"/>
    <mergeCell ref="B10:B11"/>
    <mergeCell ref="B13:B14"/>
    <mergeCell ref="B16:B17"/>
    <mergeCell ref="B20:B21"/>
    <mergeCell ref="B25:B26"/>
    <mergeCell ref="B29:B30"/>
    <mergeCell ref="B32:B33"/>
    <mergeCell ref="B36:B37"/>
    <mergeCell ref="B40:B41"/>
    <mergeCell ref="B46:B47"/>
    <mergeCell ref="C5:C6"/>
    <mergeCell ref="C10:C11"/>
    <mergeCell ref="C13:C14"/>
    <mergeCell ref="C16:C17"/>
    <mergeCell ref="C20:C21"/>
    <mergeCell ref="N46:P46"/>
    <mergeCell ref="U46:W46"/>
    <mergeCell ref="X46:Z46"/>
    <mergeCell ref="AA46:AC46"/>
    <mergeCell ref="AD46:AF46"/>
    <mergeCell ref="AG46:AI46"/>
    <mergeCell ref="AJ46:AL46"/>
    <mergeCell ref="H47:I47"/>
    <mergeCell ref="J47:K47"/>
    <mergeCell ref="L47:M47"/>
    <mergeCell ref="Q46:Q47"/>
    <mergeCell ref="R46:R47"/>
    <mergeCell ref="H42:I42"/>
    <mergeCell ref="J42:K42"/>
    <mergeCell ref="L42:M42"/>
    <mergeCell ref="L43:M43"/>
    <mergeCell ref="L44:M44"/>
    <mergeCell ref="H45:I45"/>
    <mergeCell ref="J45:K45"/>
    <mergeCell ref="L45:M45"/>
    <mergeCell ref="H46:M46"/>
    <mergeCell ref="H40:M40"/>
    <mergeCell ref="N40:P40"/>
    <mergeCell ref="U40:W40"/>
    <mergeCell ref="X40:Z40"/>
    <mergeCell ref="AA40:AC40"/>
    <mergeCell ref="AD40:AF40"/>
    <mergeCell ref="AG40:AI40"/>
    <mergeCell ref="AJ40:AL40"/>
    <mergeCell ref="H41:I41"/>
    <mergeCell ref="J41:K41"/>
    <mergeCell ref="L41:M41"/>
    <mergeCell ref="Q40:Q41"/>
    <mergeCell ref="R40:R41"/>
    <mergeCell ref="X36:Z36"/>
    <mergeCell ref="AA36:AC36"/>
    <mergeCell ref="AD36:AF36"/>
    <mergeCell ref="AG36:AI36"/>
    <mergeCell ref="AJ36:AL36"/>
    <mergeCell ref="H37:I37"/>
    <mergeCell ref="J37:K37"/>
    <mergeCell ref="L37:M37"/>
    <mergeCell ref="H38:I38"/>
    <mergeCell ref="J38:K38"/>
    <mergeCell ref="L38:M38"/>
    <mergeCell ref="Q36:Q37"/>
    <mergeCell ref="R36:R37"/>
    <mergeCell ref="H33:I33"/>
    <mergeCell ref="J33:K33"/>
    <mergeCell ref="L33:M33"/>
    <mergeCell ref="H34:I34"/>
    <mergeCell ref="J34:K34"/>
    <mergeCell ref="L34:M34"/>
    <mergeCell ref="H36:M36"/>
    <mergeCell ref="N36:P36"/>
    <mergeCell ref="U36:W36"/>
    <mergeCell ref="Q32:Q33"/>
    <mergeCell ref="R32:R33"/>
    <mergeCell ref="N32:P33"/>
    <mergeCell ref="AJ29:AL29"/>
    <mergeCell ref="H30:I30"/>
    <mergeCell ref="J30:K30"/>
    <mergeCell ref="L30:M30"/>
    <mergeCell ref="H31:I31"/>
    <mergeCell ref="J31:K31"/>
    <mergeCell ref="L31:M31"/>
    <mergeCell ref="H32:M32"/>
    <mergeCell ref="U32:W32"/>
    <mergeCell ref="X32:Z32"/>
    <mergeCell ref="AA32:AC32"/>
    <mergeCell ref="AD32:AF32"/>
    <mergeCell ref="AG32:AI32"/>
    <mergeCell ref="AJ32:AL32"/>
    <mergeCell ref="Q29:Q30"/>
    <mergeCell ref="R29:R30"/>
    <mergeCell ref="N29:P30"/>
    <mergeCell ref="H27:I27"/>
    <mergeCell ref="J27:K27"/>
    <mergeCell ref="L27:M27"/>
    <mergeCell ref="H29:M29"/>
    <mergeCell ref="U29:W29"/>
    <mergeCell ref="X29:Z29"/>
    <mergeCell ref="AA29:AC29"/>
    <mergeCell ref="AD29:AF29"/>
    <mergeCell ref="AG29:AI29"/>
    <mergeCell ref="H25:M25"/>
    <mergeCell ref="U25:W25"/>
    <mergeCell ref="X25:Z25"/>
    <mergeCell ref="AA25:AC25"/>
    <mergeCell ref="AD25:AF25"/>
    <mergeCell ref="AG25:AI25"/>
    <mergeCell ref="AJ25:AL25"/>
    <mergeCell ref="H26:I26"/>
    <mergeCell ref="J26:K26"/>
    <mergeCell ref="L26:M26"/>
    <mergeCell ref="Q25:Q26"/>
    <mergeCell ref="R25:R26"/>
    <mergeCell ref="N25:P26"/>
    <mergeCell ref="H20:M20"/>
    <mergeCell ref="U20:W20"/>
    <mergeCell ref="X20:Z20"/>
    <mergeCell ref="AA20:AC20"/>
    <mergeCell ref="AD20:AF20"/>
    <mergeCell ref="AG20:AI20"/>
    <mergeCell ref="AJ20:AL20"/>
    <mergeCell ref="H21:J21"/>
    <mergeCell ref="K21:M21"/>
    <mergeCell ref="Q20:Q21"/>
    <mergeCell ref="R20:R21"/>
    <mergeCell ref="N20:P21"/>
    <mergeCell ref="H16:M16"/>
    <mergeCell ref="U16:W16"/>
    <mergeCell ref="X16:Z16"/>
    <mergeCell ref="AA16:AC16"/>
    <mergeCell ref="AD16:AF16"/>
    <mergeCell ref="AG16:AI16"/>
    <mergeCell ref="AJ16:AL16"/>
    <mergeCell ref="H17:J17"/>
    <mergeCell ref="K17:M17"/>
    <mergeCell ref="Q16:Q17"/>
    <mergeCell ref="R16:R17"/>
    <mergeCell ref="N16:P17"/>
    <mergeCell ref="H12:I12"/>
    <mergeCell ref="H13:M13"/>
    <mergeCell ref="U13:W13"/>
    <mergeCell ref="X13:Z13"/>
    <mergeCell ref="AA13:AC13"/>
    <mergeCell ref="AD13:AF13"/>
    <mergeCell ref="AG13:AI13"/>
    <mergeCell ref="AJ13:AL13"/>
    <mergeCell ref="H14:I14"/>
    <mergeCell ref="Q13:Q14"/>
    <mergeCell ref="R13:R14"/>
    <mergeCell ref="N13:P14"/>
    <mergeCell ref="AD10:AF10"/>
    <mergeCell ref="AG10:AI10"/>
    <mergeCell ref="AJ10:AL10"/>
    <mergeCell ref="H11:I11"/>
    <mergeCell ref="J11:K11"/>
    <mergeCell ref="L11:M11"/>
    <mergeCell ref="Q10:Q11"/>
    <mergeCell ref="R10:R11"/>
    <mergeCell ref="N10:P11"/>
    <mergeCell ref="L7:M7"/>
    <mergeCell ref="L8:M8"/>
    <mergeCell ref="H9:I9"/>
    <mergeCell ref="J9:K9"/>
    <mergeCell ref="L9:M9"/>
    <mergeCell ref="H10:M10"/>
    <mergeCell ref="U10:W10"/>
    <mergeCell ref="X10:Z10"/>
    <mergeCell ref="AA10:AC10"/>
    <mergeCell ref="B1:M1"/>
    <mergeCell ref="H5:M5"/>
    <mergeCell ref="N5:P5"/>
    <mergeCell ref="U5:W5"/>
    <mergeCell ref="X5:Z5"/>
    <mergeCell ref="AA5:AC5"/>
    <mergeCell ref="AD5:AF5"/>
    <mergeCell ref="AG5:AI5"/>
    <mergeCell ref="AJ5:AL5"/>
    <mergeCell ref="Q5:Q6"/>
    <mergeCell ref="R5:R6"/>
    <mergeCell ref="H6:I6"/>
    <mergeCell ref="J6:K6"/>
    <mergeCell ref="L6:M6"/>
  </mergeCells>
  <pageMargins left="0.16" right="0.56000000000000005" top="0.16" bottom="0.13" header="0.31496062992126" footer="0.31496062992126"/>
  <pageSetup paperSize="9" scale="90" orientation="landscape" horizontalDpi="1200" verticalDpi="120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O79"/>
  <sheetViews>
    <sheetView view="pageLayout" zoomScaleNormal="100" workbookViewId="0">
      <selection activeCell="E60" sqref="E60"/>
    </sheetView>
  </sheetViews>
  <sheetFormatPr defaultColWidth="9" defaultRowHeight="14.4"/>
  <cols>
    <col min="1" max="1" width="7.44140625" customWidth="1"/>
    <col min="3" max="3" width="24.88671875" customWidth="1"/>
    <col min="4" max="4" width="7.109375" customWidth="1"/>
    <col min="5" max="5" width="9.6640625" customWidth="1"/>
    <col min="6" max="6" width="8.6640625" customWidth="1"/>
    <col min="7" max="7" width="7.77734375" customWidth="1"/>
    <col min="8" max="8" width="9.33203125" customWidth="1"/>
    <col min="9" max="9" width="7.21875" customWidth="1"/>
    <col min="10" max="11" width="7.6640625" customWidth="1"/>
    <col min="12" max="12" width="8.44140625" customWidth="1"/>
    <col min="13" max="13" width="7.33203125" customWidth="1"/>
    <col min="14" max="14" width="6" customWidth="1"/>
    <col min="15" max="15" width="3.88671875" customWidth="1"/>
  </cols>
  <sheetData>
    <row r="1" spans="1:13" s="1" customFormat="1" ht="21">
      <c r="C1" s="2" t="s">
        <v>931</v>
      </c>
    </row>
    <row r="2" spans="1:13" s="1" customFormat="1" ht="22.95" customHeight="1">
      <c r="B2" s="2" t="s">
        <v>932</v>
      </c>
      <c r="C2" s="3">
        <v>126</v>
      </c>
      <c r="D2" s="4" t="s">
        <v>237</v>
      </c>
      <c r="E2" s="4" t="s">
        <v>933</v>
      </c>
      <c r="F2" s="3">
        <v>2.5</v>
      </c>
      <c r="G2" s="4" t="s">
        <v>237</v>
      </c>
      <c r="H2" s="4">
        <f>C2/2.3</f>
        <v>54.7826086956522</v>
      </c>
      <c r="I2" s="1" t="s">
        <v>78</v>
      </c>
      <c r="J2" s="3">
        <v>54</v>
      </c>
    </row>
    <row r="3" spans="1:13" s="1" customFormat="1" ht="22.95" customHeight="1">
      <c r="A3" s="2085" t="s">
        <v>174</v>
      </c>
      <c r="B3" s="2089" t="s">
        <v>96</v>
      </c>
      <c r="C3" s="2090"/>
      <c r="D3" s="2087" t="s">
        <v>11</v>
      </c>
      <c r="E3" s="2087" t="s">
        <v>792</v>
      </c>
      <c r="F3" s="5" t="s">
        <v>793</v>
      </c>
      <c r="G3" s="5" t="s">
        <v>794</v>
      </c>
      <c r="H3" s="6" t="s">
        <v>795</v>
      </c>
      <c r="I3" s="92" t="s">
        <v>100</v>
      </c>
    </row>
    <row r="4" spans="1:13" s="1" customFormat="1" ht="22.95" customHeight="1">
      <c r="A4" s="2086"/>
      <c r="B4" s="2091"/>
      <c r="C4" s="2092"/>
      <c r="D4" s="2088"/>
      <c r="E4" s="2088"/>
      <c r="F4" s="7" t="s">
        <v>796</v>
      </c>
      <c r="G4" s="7" t="s">
        <v>796</v>
      </c>
      <c r="H4" s="7" t="s">
        <v>796</v>
      </c>
      <c r="I4" s="93"/>
      <c r="K4" s="4"/>
      <c r="L4" s="4"/>
      <c r="M4" s="4"/>
    </row>
    <row r="5" spans="1:13" s="1" customFormat="1" ht="22.95" customHeight="1">
      <c r="A5" s="8">
        <v>1</v>
      </c>
      <c r="B5" s="9" t="s">
        <v>797</v>
      </c>
      <c r="C5" s="10"/>
      <c r="D5" s="11" t="s">
        <v>184</v>
      </c>
      <c r="E5" s="12">
        <f>F5*G5*H5*J2</f>
        <v>6.75</v>
      </c>
      <c r="F5" s="12">
        <v>0.5</v>
      </c>
      <c r="G5" s="12">
        <v>0.5</v>
      </c>
      <c r="H5" s="12">
        <v>0.5</v>
      </c>
      <c r="I5" s="94"/>
      <c r="K5" s="4"/>
      <c r="L5" s="4"/>
      <c r="M5" s="4"/>
    </row>
    <row r="6" spans="1:13" s="1" customFormat="1" ht="22.95" customHeight="1">
      <c r="A6" s="13">
        <v>2</v>
      </c>
      <c r="B6" s="14" t="s">
        <v>798</v>
      </c>
      <c r="C6" s="15"/>
      <c r="D6" s="16" t="s">
        <v>184</v>
      </c>
      <c r="E6" s="17">
        <f>F6*G6*H6*J2</f>
        <v>0.67500000000000004</v>
      </c>
      <c r="F6" s="17">
        <v>0.5</v>
      </c>
      <c r="G6" s="17">
        <v>0.5</v>
      </c>
      <c r="H6" s="17">
        <v>0.05</v>
      </c>
      <c r="I6" s="54"/>
    </row>
    <row r="7" spans="1:13" s="1" customFormat="1" ht="22.95" customHeight="1">
      <c r="A7" s="13">
        <v>3</v>
      </c>
      <c r="B7" s="14" t="s">
        <v>799</v>
      </c>
      <c r="C7" s="18"/>
      <c r="D7" s="16" t="s">
        <v>184</v>
      </c>
      <c r="E7" s="17">
        <f>F7*G7*H7*J2</f>
        <v>0.67500000000000004</v>
      </c>
      <c r="F7" s="17">
        <v>0.5</v>
      </c>
      <c r="G7" s="17">
        <v>0.5</v>
      </c>
      <c r="H7" s="17">
        <v>0.05</v>
      </c>
      <c r="I7" s="54"/>
      <c r="K7" s="4"/>
    </row>
    <row r="8" spans="1:13" s="1" customFormat="1" ht="22.95" customHeight="1">
      <c r="A8" s="13">
        <v>4</v>
      </c>
      <c r="B8" s="19" t="s">
        <v>800</v>
      </c>
      <c r="C8" s="20"/>
      <c r="D8" s="17"/>
      <c r="E8" s="17"/>
      <c r="F8" s="17"/>
      <c r="G8" s="17"/>
      <c r="H8" s="17"/>
      <c r="I8" s="54"/>
      <c r="K8" s="4"/>
    </row>
    <row r="9" spans="1:13" s="1" customFormat="1" ht="22.95" customHeight="1">
      <c r="A9" s="21">
        <v>4.0999999999999996</v>
      </c>
      <c r="B9" s="22" t="s">
        <v>801</v>
      </c>
      <c r="C9" s="20"/>
      <c r="D9" s="16" t="s">
        <v>184</v>
      </c>
      <c r="E9" s="17">
        <f>F9*G9*H9*J2</f>
        <v>2.7</v>
      </c>
      <c r="F9" s="17">
        <v>0.5</v>
      </c>
      <c r="G9" s="17">
        <v>0.5</v>
      </c>
      <c r="H9" s="17">
        <v>0.2</v>
      </c>
      <c r="I9" s="54"/>
      <c r="K9" s="4"/>
      <c r="L9" s="4"/>
      <c r="M9" s="4"/>
    </row>
    <row r="10" spans="1:13" s="1" customFormat="1" ht="22.95" customHeight="1">
      <c r="A10" s="21">
        <v>4.2</v>
      </c>
      <c r="B10" s="22" t="s">
        <v>802</v>
      </c>
      <c r="C10" s="20"/>
      <c r="D10" s="16" t="s">
        <v>184</v>
      </c>
      <c r="E10" s="17">
        <f>F10*G10*H10*J2</f>
        <v>2.3085</v>
      </c>
      <c r="F10" s="17">
        <v>0.15</v>
      </c>
      <c r="G10" s="17">
        <v>0.15</v>
      </c>
      <c r="H10" s="17">
        <v>1.9</v>
      </c>
      <c r="I10" s="51"/>
      <c r="J10" s="4"/>
    </row>
    <row r="11" spans="1:13" s="1" customFormat="1" ht="22.95" customHeight="1">
      <c r="A11" s="21">
        <v>4.3</v>
      </c>
      <c r="B11" s="22" t="s">
        <v>803</v>
      </c>
      <c r="C11" s="20"/>
      <c r="D11" s="16" t="s">
        <v>184</v>
      </c>
      <c r="E11" s="23">
        <f>F11*G11*H11</f>
        <v>5.67</v>
      </c>
      <c r="F11" s="17">
        <v>0.15</v>
      </c>
      <c r="G11" s="17">
        <f>C2</f>
        <v>126</v>
      </c>
      <c r="H11" s="17">
        <v>0.3</v>
      </c>
      <c r="I11" s="51"/>
      <c r="K11" s="1" t="s">
        <v>794</v>
      </c>
    </row>
    <row r="12" spans="1:13" s="1" customFormat="1" ht="22.95" customHeight="1">
      <c r="A12" s="21">
        <v>4.4000000000000004</v>
      </c>
      <c r="B12" s="22" t="s">
        <v>804</v>
      </c>
      <c r="C12" s="20"/>
      <c r="D12" s="16" t="s">
        <v>184</v>
      </c>
      <c r="E12" s="24">
        <f>F12*G12*H12</f>
        <v>1.7685</v>
      </c>
      <c r="F12" s="17">
        <v>0.15</v>
      </c>
      <c r="G12" s="17">
        <f>K12</f>
        <v>117.9</v>
      </c>
      <c r="H12" s="17">
        <v>0.1</v>
      </c>
      <c r="I12" s="51"/>
      <c r="K12" s="23">
        <f>C2-(0.15*J2)</f>
        <v>117.9</v>
      </c>
    </row>
    <row r="13" spans="1:13" s="1" customFormat="1" ht="22.95" customHeight="1">
      <c r="A13" s="13"/>
      <c r="B13" s="14"/>
      <c r="C13" s="25"/>
      <c r="D13" s="26" t="s">
        <v>805</v>
      </c>
      <c r="E13" s="27">
        <f>SUM(E9:E12)</f>
        <v>12.446999999999999</v>
      </c>
      <c r="F13" s="18" t="s">
        <v>184</v>
      </c>
      <c r="G13" s="28"/>
      <c r="H13" s="17"/>
      <c r="I13" s="95"/>
      <c r="J13" s="4"/>
    </row>
    <row r="14" spans="1:13" s="1" customFormat="1" ht="22.5" customHeight="1">
      <c r="A14" s="13">
        <v>5</v>
      </c>
      <c r="B14" s="19" t="s">
        <v>599</v>
      </c>
      <c r="C14" s="20"/>
      <c r="D14" s="28"/>
      <c r="E14" s="29"/>
      <c r="F14" s="28"/>
      <c r="G14" s="28"/>
      <c r="H14" s="28"/>
      <c r="I14" s="54"/>
    </row>
    <row r="15" spans="1:13" ht="22.5" customHeight="1">
      <c r="A15" s="30">
        <v>5.0999999999999996</v>
      </c>
      <c r="B15" s="22" t="s">
        <v>801</v>
      </c>
      <c r="C15" s="20"/>
      <c r="D15" s="16" t="s">
        <v>83</v>
      </c>
      <c r="E15" s="17">
        <f>F15*H15*4*J2</f>
        <v>21.6</v>
      </c>
      <c r="F15" s="17">
        <v>0.5</v>
      </c>
      <c r="G15" s="17">
        <v>0</v>
      </c>
      <c r="H15" s="17">
        <v>0.2</v>
      </c>
      <c r="I15" s="96"/>
    </row>
    <row r="16" spans="1:13" ht="22.5" customHeight="1">
      <c r="A16" s="30">
        <v>5.2</v>
      </c>
      <c r="B16" s="22" t="s">
        <v>802</v>
      </c>
      <c r="C16" s="20"/>
      <c r="D16" s="16" t="s">
        <v>83</v>
      </c>
      <c r="E16" s="17">
        <f>F16*H16*4*J2</f>
        <v>55.08</v>
      </c>
      <c r="F16" s="17">
        <v>0.15</v>
      </c>
      <c r="G16" s="17">
        <v>0</v>
      </c>
      <c r="H16" s="17">
        <v>1.7</v>
      </c>
      <c r="I16" s="95"/>
    </row>
    <row r="17" spans="1:13" ht="22.5" customHeight="1">
      <c r="A17" s="30">
        <v>5.3</v>
      </c>
      <c r="B17" s="22" t="s">
        <v>803</v>
      </c>
      <c r="C17" s="20"/>
      <c r="D17" s="16" t="s">
        <v>83</v>
      </c>
      <c r="E17" s="23">
        <f>G17*H17*2</f>
        <v>75.599999999999994</v>
      </c>
      <c r="F17" s="17">
        <v>0</v>
      </c>
      <c r="G17" s="17">
        <v>0.3</v>
      </c>
      <c r="H17" s="17">
        <v>126</v>
      </c>
      <c r="I17" s="95"/>
    </row>
    <row r="18" spans="1:13" ht="22.5" customHeight="1">
      <c r="A18" s="30">
        <v>5.4</v>
      </c>
      <c r="B18" s="22" t="s">
        <v>804</v>
      </c>
      <c r="C18" s="20"/>
      <c r="D18" s="16" t="s">
        <v>83</v>
      </c>
      <c r="E18" s="23">
        <f>G18*H18*2</f>
        <v>23.58</v>
      </c>
      <c r="F18" s="17">
        <v>0.15</v>
      </c>
      <c r="G18" s="17">
        <f>G12</f>
        <v>117.9</v>
      </c>
      <c r="H18" s="17">
        <f>H12</f>
        <v>0.1</v>
      </c>
      <c r="I18" s="95"/>
    </row>
    <row r="19" spans="1:13" ht="22.5" customHeight="1">
      <c r="A19" s="31"/>
      <c r="B19" s="22"/>
      <c r="C19" s="20"/>
      <c r="D19" s="26" t="s">
        <v>806</v>
      </c>
      <c r="E19" s="27">
        <f>SUM(E15:E18)</f>
        <v>175.86</v>
      </c>
      <c r="F19" s="18" t="s">
        <v>83</v>
      </c>
      <c r="G19" s="17"/>
      <c r="H19" s="17"/>
      <c r="I19" s="95"/>
    </row>
    <row r="20" spans="1:13" ht="22.5" customHeight="1">
      <c r="A20" s="32"/>
      <c r="B20" s="33"/>
      <c r="C20" s="34"/>
      <c r="D20" s="35"/>
      <c r="E20" s="36"/>
      <c r="F20" s="37"/>
      <c r="G20" s="38"/>
      <c r="H20" s="38"/>
      <c r="I20" s="97"/>
    </row>
    <row r="21" spans="1:13" ht="22.5" customHeight="1">
      <c r="B21" s="1"/>
      <c r="C21" s="1"/>
      <c r="D21" s="39"/>
      <c r="E21" s="40"/>
      <c r="F21" s="40"/>
      <c r="G21" s="4"/>
      <c r="H21" s="4"/>
      <c r="I21" s="4"/>
    </row>
    <row r="22" spans="1:13" ht="22.5" customHeight="1">
      <c r="B22" s="1"/>
      <c r="C22" s="1"/>
      <c r="D22" s="39"/>
      <c r="E22" s="40"/>
      <c r="F22" s="40"/>
      <c r="G22" s="4"/>
      <c r="H22" s="4"/>
      <c r="I22" s="4"/>
    </row>
    <row r="23" spans="1:13" ht="22.5" customHeight="1">
      <c r="B23" s="1"/>
      <c r="C23" s="1"/>
      <c r="D23" s="39"/>
      <c r="E23" s="40"/>
      <c r="F23" s="40"/>
      <c r="G23" s="4"/>
      <c r="H23" s="4"/>
      <c r="I23" s="4"/>
    </row>
    <row r="24" spans="1:13" s="1" customFormat="1" ht="21">
      <c r="C24" s="1" t="s">
        <v>931</v>
      </c>
    </row>
    <row r="25" spans="1:13" s="1" customFormat="1" ht="22.95" customHeight="1">
      <c r="B25" s="2" t="s">
        <v>932</v>
      </c>
      <c r="C25" s="3">
        <v>126</v>
      </c>
      <c r="D25" s="4" t="s">
        <v>237</v>
      </c>
      <c r="E25" s="4" t="s">
        <v>933</v>
      </c>
      <c r="F25" s="3">
        <v>2.5</v>
      </c>
      <c r="G25" s="4" t="s">
        <v>237</v>
      </c>
      <c r="H25" s="4">
        <f>C25/2.3</f>
        <v>54.7826086956522</v>
      </c>
      <c r="I25" s="1" t="s">
        <v>78</v>
      </c>
      <c r="J25" s="3">
        <v>54</v>
      </c>
    </row>
    <row r="26" spans="1:13" s="1" customFormat="1" ht="22.95" customHeight="1">
      <c r="A26" s="2085" t="s">
        <v>174</v>
      </c>
      <c r="B26" s="2089" t="s">
        <v>96</v>
      </c>
      <c r="C26" s="2090"/>
      <c r="D26" s="2087" t="s">
        <v>11</v>
      </c>
      <c r="E26" s="2087" t="s">
        <v>792</v>
      </c>
      <c r="F26" s="5" t="s">
        <v>793</v>
      </c>
      <c r="G26" s="5" t="s">
        <v>794</v>
      </c>
      <c r="H26" s="5" t="s">
        <v>795</v>
      </c>
      <c r="I26" s="92" t="s">
        <v>100</v>
      </c>
    </row>
    <row r="27" spans="1:13" s="1" customFormat="1" ht="22.95" customHeight="1">
      <c r="A27" s="2086"/>
      <c r="B27" s="2091"/>
      <c r="C27" s="2092"/>
      <c r="D27" s="2088"/>
      <c r="E27" s="2088"/>
      <c r="F27" s="7" t="s">
        <v>796</v>
      </c>
      <c r="G27" s="7" t="s">
        <v>796</v>
      </c>
      <c r="H27" s="7" t="s">
        <v>796</v>
      </c>
      <c r="I27" s="93"/>
      <c r="K27" s="4"/>
      <c r="L27" s="4"/>
      <c r="M27" s="4"/>
    </row>
    <row r="28" spans="1:13" s="1" customFormat="1" ht="22.95" customHeight="1">
      <c r="A28" s="41">
        <v>6</v>
      </c>
      <c r="B28" s="42" t="s">
        <v>807</v>
      </c>
      <c r="C28" s="43"/>
      <c r="D28" s="43"/>
      <c r="E28" s="29"/>
      <c r="F28" s="29"/>
      <c r="G28" s="29"/>
      <c r="H28" s="44"/>
      <c r="I28" s="98"/>
      <c r="K28" s="4"/>
      <c r="M28" s="4"/>
    </row>
    <row r="29" spans="1:13" s="1" customFormat="1" ht="22.95" customHeight="1">
      <c r="A29" s="13">
        <v>6.1</v>
      </c>
      <c r="B29" s="45" t="s">
        <v>801</v>
      </c>
      <c r="C29" s="20"/>
      <c r="D29" s="46"/>
      <c r="E29" s="47"/>
      <c r="F29" s="47"/>
      <c r="G29" s="47"/>
      <c r="H29" s="48"/>
      <c r="I29" s="99"/>
      <c r="K29" s="4"/>
      <c r="M29" s="4"/>
    </row>
    <row r="30" spans="1:13" s="1" customFormat="1" ht="22.95" customHeight="1">
      <c r="A30" s="13"/>
      <c r="B30" s="22" t="s">
        <v>809</v>
      </c>
      <c r="C30" s="20"/>
      <c r="D30" s="49" t="s">
        <v>237</v>
      </c>
      <c r="E30" s="50">
        <f>G30*I30*2*J2</f>
        <v>302.39999999999998</v>
      </c>
      <c r="F30" s="17">
        <v>0.5</v>
      </c>
      <c r="G30" s="17">
        <f>0.4+0.1+0.1+0.1</f>
        <v>0.7</v>
      </c>
      <c r="H30" s="51">
        <f>F30/0.15</f>
        <v>3.3333333333333299</v>
      </c>
      <c r="I30" s="100">
        <v>4</v>
      </c>
      <c r="J30" s="1" t="s">
        <v>808</v>
      </c>
      <c r="K30" s="4"/>
      <c r="M30" s="4"/>
    </row>
    <row r="31" spans="1:13" s="1" customFormat="1" ht="22.95" customHeight="1">
      <c r="A31" s="13"/>
      <c r="B31" s="22" t="s">
        <v>934</v>
      </c>
      <c r="C31" s="20"/>
      <c r="D31" s="49" t="s">
        <v>237</v>
      </c>
      <c r="E31" s="50">
        <f>G31*J2</f>
        <v>86.4</v>
      </c>
      <c r="F31" s="17">
        <v>0</v>
      </c>
      <c r="G31" s="17">
        <f>0.4*4</f>
        <v>1.6</v>
      </c>
      <c r="H31" s="51">
        <f>F31/0.15</f>
        <v>0</v>
      </c>
      <c r="I31" s="99" t="s">
        <v>935</v>
      </c>
      <c r="J31" s="101">
        <f>0.499*(E31+E39)</f>
        <v>219.7097</v>
      </c>
      <c r="K31" s="1" t="s">
        <v>81</v>
      </c>
      <c r="M31" s="4"/>
    </row>
    <row r="32" spans="1:13" s="1" customFormat="1" ht="22.95" customHeight="1">
      <c r="A32" s="13">
        <v>6.2</v>
      </c>
      <c r="B32" s="14" t="s">
        <v>802</v>
      </c>
      <c r="C32" s="20"/>
      <c r="D32" s="52"/>
      <c r="E32" s="52"/>
      <c r="F32" s="52"/>
      <c r="G32" s="52"/>
      <c r="H32" s="53"/>
      <c r="I32" s="99"/>
      <c r="K32" s="4"/>
      <c r="M32" s="4"/>
    </row>
    <row r="33" spans="1:15" s="1" customFormat="1" ht="22.95" customHeight="1">
      <c r="A33" s="13"/>
      <c r="B33" s="22" t="s">
        <v>809</v>
      </c>
      <c r="C33" s="20"/>
      <c r="D33" s="49" t="s">
        <v>237</v>
      </c>
      <c r="E33" s="50">
        <f>G33*4*J2</f>
        <v>594</v>
      </c>
      <c r="F33" s="28"/>
      <c r="G33" s="17">
        <f>2.25+0.3+0.1+0.1</f>
        <v>2.75</v>
      </c>
      <c r="H33" s="54"/>
      <c r="I33" s="99"/>
      <c r="K33" s="4"/>
      <c r="M33" s="4"/>
    </row>
    <row r="34" spans="1:15" s="1" customFormat="1" ht="22.95" customHeight="1">
      <c r="A34" s="13"/>
      <c r="B34" s="22" t="s">
        <v>936</v>
      </c>
      <c r="C34" s="20"/>
      <c r="D34" s="49" t="s">
        <v>237</v>
      </c>
      <c r="E34" s="50">
        <f>G34*H34*J2</f>
        <v>189</v>
      </c>
      <c r="F34" s="28"/>
      <c r="G34" s="28">
        <f>0.1+0.1+0.1+0.1+0.1</f>
        <v>0.5</v>
      </c>
      <c r="H34" s="51">
        <f>1.4/0.2</f>
        <v>7</v>
      </c>
      <c r="I34" s="99"/>
      <c r="K34" s="4"/>
      <c r="M34" s="4"/>
    </row>
    <row r="35" spans="1:15" s="1" customFormat="1" ht="22.95" customHeight="1">
      <c r="A35" s="13">
        <v>6.3</v>
      </c>
      <c r="B35" s="14" t="s">
        <v>803</v>
      </c>
      <c r="C35" s="20"/>
      <c r="D35" s="55"/>
      <c r="E35" s="52"/>
      <c r="F35" s="52"/>
      <c r="G35" s="52"/>
      <c r="H35" s="53"/>
      <c r="I35" s="99"/>
      <c r="J35" s="1" t="s">
        <v>808</v>
      </c>
      <c r="K35" s="4"/>
    </row>
    <row r="36" spans="1:15" s="1" customFormat="1" ht="22.95" customHeight="1">
      <c r="A36" s="21"/>
      <c r="B36" s="22" t="s">
        <v>809</v>
      </c>
      <c r="C36" s="20"/>
      <c r="D36" s="49" t="s">
        <v>237</v>
      </c>
      <c r="E36" s="50">
        <f>G36*4</f>
        <v>504</v>
      </c>
      <c r="F36" s="28"/>
      <c r="G36" s="17">
        <v>126</v>
      </c>
      <c r="H36" s="54"/>
      <c r="I36" s="99"/>
      <c r="J36" s="102">
        <f>(E30+E33+E36)*0.888</f>
        <v>1243.5552</v>
      </c>
      <c r="K36" s="1" t="s">
        <v>81</v>
      </c>
    </row>
    <row r="37" spans="1:15" s="1" customFormat="1" ht="22.95" customHeight="1">
      <c r="A37" s="21"/>
      <c r="B37" s="22" t="s">
        <v>936</v>
      </c>
      <c r="C37" s="20"/>
      <c r="D37" s="49" t="s">
        <v>237</v>
      </c>
      <c r="E37" s="50">
        <f>H37*G37</f>
        <v>441</v>
      </c>
      <c r="F37" s="28"/>
      <c r="G37" s="28">
        <f>0.1+0.1+0.2+0.2+0.1</f>
        <v>0.7</v>
      </c>
      <c r="H37" s="51">
        <f>G36/0.2</f>
        <v>630</v>
      </c>
      <c r="I37" s="99"/>
      <c r="J37" s="101">
        <f>(E34+E37)*0.222</f>
        <v>139.86000000000001</v>
      </c>
      <c r="K37" s="1" t="s">
        <v>81</v>
      </c>
    </row>
    <row r="38" spans="1:15" s="1" customFormat="1" ht="22.95" customHeight="1">
      <c r="A38" s="13">
        <v>6.4</v>
      </c>
      <c r="B38" s="14" t="s">
        <v>804</v>
      </c>
      <c r="C38" s="20"/>
      <c r="D38" s="56"/>
      <c r="E38" s="24"/>
      <c r="F38" s="28"/>
      <c r="G38" s="47"/>
      <c r="H38" s="57"/>
      <c r="I38" s="99"/>
      <c r="J38" s="24"/>
      <c r="L38" s="24"/>
    </row>
    <row r="39" spans="1:15" s="1" customFormat="1" ht="22.95" customHeight="1">
      <c r="A39" s="58"/>
      <c r="B39" s="22" t="s">
        <v>937</v>
      </c>
      <c r="C39" s="20"/>
      <c r="D39" s="49" t="s">
        <v>237</v>
      </c>
      <c r="E39" s="50">
        <f>(G39*2)+((G18/0.2)*0.2)</f>
        <v>353.9</v>
      </c>
      <c r="F39" s="17">
        <v>0</v>
      </c>
      <c r="G39" s="17">
        <f>G18+0.05+0.05</f>
        <v>118</v>
      </c>
      <c r="H39" s="51">
        <f>F39/0.15</f>
        <v>0</v>
      </c>
      <c r="I39" s="99"/>
      <c r="J39" s="24"/>
      <c r="L39" s="24"/>
    </row>
    <row r="40" spans="1:15" s="1" customFormat="1" ht="22.95" customHeight="1">
      <c r="A40" s="58"/>
      <c r="B40" s="22"/>
      <c r="C40" s="46"/>
      <c r="D40" s="26" t="s">
        <v>938</v>
      </c>
      <c r="E40" s="27">
        <f>SUM(E35:E37)</f>
        <v>945</v>
      </c>
      <c r="F40" s="59" t="s">
        <v>237</v>
      </c>
      <c r="G40" s="47"/>
      <c r="H40" s="57"/>
      <c r="I40" s="99"/>
    </row>
    <row r="41" spans="1:15" s="1" customFormat="1" ht="22.95" customHeight="1">
      <c r="A41" s="60"/>
      <c r="B41" s="33"/>
      <c r="C41" s="34"/>
      <c r="D41" s="61"/>
      <c r="E41" s="62"/>
      <c r="F41" s="63"/>
      <c r="G41" s="64"/>
      <c r="H41" s="65"/>
      <c r="I41" s="103"/>
    </row>
    <row r="42" spans="1:15" s="1" customFormat="1" ht="22.95" customHeight="1">
      <c r="A42" s="66"/>
      <c r="D42" s="39"/>
      <c r="E42" s="40"/>
      <c r="F42" s="67"/>
      <c r="H42" s="24"/>
    </row>
    <row r="43" spans="1:15" s="1" customFormat="1" ht="22.95" customHeight="1">
      <c r="A43" s="66"/>
      <c r="B43" s="68" t="s">
        <v>939</v>
      </c>
      <c r="C43" s="3">
        <v>120</v>
      </c>
      <c r="D43" s="4" t="s">
        <v>237</v>
      </c>
      <c r="E43" s="4" t="s">
        <v>933</v>
      </c>
      <c r="F43" s="3">
        <v>2.2999999999999998</v>
      </c>
      <c r="G43" s="4" t="s">
        <v>237</v>
      </c>
      <c r="H43" s="4">
        <f>C43/2.3</f>
        <v>52.173913043478301</v>
      </c>
      <c r="I43" s="1" t="s">
        <v>78</v>
      </c>
      <c r="J43" s="3">
        <v>53</v>
      </c>
      <c r="K43" s="1" t="s">
        <v>78</v>
      </c>
    </row>
    <row r="44" spans="1:15" s="1" customFormat="1" ht="22.95" customHeight="1">
      <c r="A44" s="69"/>
      <c r="B44" s="70"/>
      <c r="C44" s="71"/>
      <c r="D44" s="72"/>
      <c r="E44" s="73"/>
      <c r="F44" s="74" t="s">
        <v>940</v>
      </c>
      <c r="G44" s="47"/>
      <c r="H44" s="75" t="s">
        <v>941</v>
      </c>
      <c r="I44" s="94"/>
      <c r="J44" s="104" t="s">
        <v>948</v>
      </c>
      <c r="K44" s="104" t="s">
        <v>942</v>
      </c>
      <c r="L44" s="105" t="s">
        <v>943</v>
      </c>
      <c r="M44" s="105" t="s">
        <v>179</v>
      </c>
      <c r="N44" s="106"/>
      <c r="O44" s="107"/>
    </row>
    <row r="45" spans="1:15" s="1" customFormat="1" ht="22.95" customHeight="1">
      <c r="A45" s="76">
        <v>7</v>
      </c>
      <c r="B45" s="77" t="s">
        <v>955</v>
      </c>
      <c r="C45" s="20"/>
      <c r="D45" s="49" t="s">
        <v>346</v>
      </c>
      <c r="E45" s="50">
        <f>N45</f>
        <v>2</v>
      </c>
      <c r="F45" s="78">
        <f>M45*J45</f>
        <v>3.234</v>
      </c>
      <c r="G45" s="78"/>
      <c r="H45" s="78" t="e">
        <f>#REF!</f>
        <v>#REF!</v>
      </c>
      <c r="I45" s="54"/>
      <c r="J45" s="108">
        <v>2.1</v>
      </c>
      <c r="K45" s="109">
        <f>((0.5+0.5+0.5+0.5)*2.54)/100*M45*6</f>
        <v>0.46939199999999998</v>
      </c>
      <c r="L45" s="1">
        <f>1.05+0.27</f>
        <v>1.32</v>
      </c>
      <c r="M45" s="110">
        <f>L45*7/6</f>
        <v>1.54</v>
      </c>
      <c r="N45" s="111">
        <v>2</v>
      </c>
      <c r="O45" s="107" t="s">
        <v>346</v>
      </c>
    </row>
    <row r="46" spans="1:15" s="1" customFormat="1" ht="22.95" customHeight="1">
      <c r="A46" s="76"/>
      <c r="B46" s="77" t="s">
        <v>1066</v>
      </c>
      <c r="C46" s="20"/>
      <c r="D46" s="79"/>
      <c r="E46" s="80"/>
      <c r="F46" s="28"/>
      <c r="G46" s="50"/>
      <c r="H46" s="50"/>
      <c r="I46" s="54"/>
      <c r="J46" s="108"/>
      <c r="K46" s="109"/>
      <c r="M46" s="110"/>
      <c r="N46" s="111"/>
      <c r="O46" s="107"/>
    </row>
    <row r="47" spans="1:15" s="1" customFormat="1" ht="22.95" customHeight="1">
      <c r="A47" s="76"/>
      <c r="B47" s="77" t="s">
        <v>945</v>
      </c>
      <c r="C47" s="20"/>
      <c r="D47" s="81" t="s">
        <v>83</v>
      </c>
      <c r="E47" s="50">
        <f>K45</f>
        <v>0.46939199999999998</v>
      </c>
      <c r="F47" s="78"/>
      <c r="G47" s="78"/>
      <c r="H47" s="78"/>
      <c r="I47" s="54"/>
      <c r="J47" s="108"/>
      <c r="K47" s="109"/>
      <c r="M47" s="110"/>
      <c r="N47" s="111"/>
      <c r="O47" s="107"/>
    </row>
    <row r="48" spans="1:15" s="1" customFormat="1" ht="22.95" customHeight="1">
      <c r="A48" s="76">
        <v>8</v>
      </c>
      <c r="B48" s="77" t="s">
        <v>955</v>
      </c>
      <c r="C48" s="20"/>
      <c r="D48" s="49" t="s">
        <v>346</v>
      </c>
      <c r="E48" s="50">
        <f>N48</f>
        <v>5</v>
      </c>
      <c r="F48" s="78">
        <f>M48*J48</f>
        <v>9.1664999999999992</v>
      </c>
      <c r="G48" s="78"/>
      <c r="H48" s="78" t="e">
        <f>H45</f>
        <v>#REF!</v>
      </c>
      <c r="I48" s="54"/>
      <c r="J48" s="108">
        <v>2.1</v>
      </c>
      <c r="K48" s="109">
        <f>((0.5+0.5+0.5+0.5)*2.54)/100*M48*6</f>
        <v>1.330452</v>
      </c>
      <c r="L48" s="1">
        <f>0.27</f>
        <v>0.27</v>
      </c>
      <c r="M48" s="110">
        <f>L48*97/6</f>
        <v>4.3650000000000002</v>
      </c>
      <c r="N48" s="111">
        <v>5</v>
      </c>
      <c r="O48" s="107" t="s">
        <v>346</v>
      </c>
    </row>
    <row r="49" spans="1:15" s="1" customFormat="1" ht="22.95" customHeight="1">
      <c r="A49" s="76"/>
      <c r="B49" s="77" t="s">
        <v>947</v>
      </c>
      <c r="C49" s="20"/>
      <c r="D49" s="79"/>
      <c r="E49" s="80"/>
      <c r="F49" s="28"/>
      <c r="G49" s="50"/>
      <c r="H49" s="50"/>
      <c r="I49" s="54"/>
      <c r="J49" s="108"/>
      <c r="K49" s="109"/>
      <c r="M49" s="110"/>
      <c r="N49" s="111"/>
      <c r="O49" s="107"/>
    </row>
    <row r="50" spans="1:15" s="1" customFormat="1" ht="22.95" customHeight="1">
      <c r="A50" s="76"/>
      <c r="B50" s="77" t="s">
        <v>945</v>
      </c>
      <c r="C50" s="20"/>
      <c r="D50" s="81" t="s">
        <v>83</v>
      </c>
      <c r="E50" s="50">
        <f>K48</f>
        <v>1.330452</v>
      </c>
      <c r="F50" s="28"/>
      <c r="G50" s="50"/>
      <c r="H50" s="50"/>
      <c r="I50" s="54"/>
      <c r="J50" s="108"/>
      <c r="K50" s="109"/>
      <c r="M50" s="110"/>
      <c r="N50" s="111"/>
      <c r="O50" s="107"/>
    </row>
    <row r="51" spans="1:15" s="1" customFormat="1" ht="22.95" customHeight="1">
      <c r="A51" s="76">
        <v>9</v>
      </c>
      <c r="B51" s="77" t="s">
        <v>955</v>
      </c>
      <c r="C51" s="20"/>
      <c r="D51" s="49" t="s">
        <v>346</v>
      </c>
      <c r="E51" s="50">
        <f>N51</f>
        <v>17</v>
      </c>
      <c r="F51" s="78">
        <f>M51*J51</f>
        <v>35.647500000000001</v>
      </c>
      <c r="G51" s="78"/>
      <c r="H51" s="78" t="e">
        <f>H48</f>
        <v>#REF!</v>
      </c>
      <c r="I51" s="54"/>
      <c r="J51" s="108">
        <v>2.1</v>
      </c>
      <c r="K51" s="109">
        <f>((0.5+0.5+0.5+0.5)*2.54)/100*M51*6</f>
        <v>5.1739800000000002</v>
      </c>
      <c r="L51" s="1">
        <f>1.05</f>
        <v>1.05</v>
      </c>
      <c r="M51" s="110">
        <f>L51*97/6</f>
        <v>16.975000000000001</v>
      </c>
      <c r="N51" s="111">
        <v>17</v>
      </c>
      <c r="O51" s="107" t="s">
        <v>346</v>
      </c>
    </row>
    <row r="52" spans="1:15" s="1" customFormat="1" ht="22.95" customHeight="1">
      <c r="A52" s="76"/>
      <c r="B52" s="77" t="s">
        <v>956</v>
      </c>
      <c r="C52" s="20"/>
      <c r="D52" s="79"/>
      <c r="E52" s="80" t="s">
        <v>1067</v>
      </c>
      <c r="F52" s="50">
        <f>SUM(F45:F51)</f>
        <v>48.048000000000002</v>
      </c>
      <c r="G52" s="80" t="s">
        <v>81</v>
      </c>
      <c r="H52" s="50"/>
      <c r="I52" s="54"/>
      <c r="J52" s="108"/>
      <c r="K52" s="109"/>
      <c r="M52" s="110"/>
      <c r="N52" s="111"/>
      <c r="O52" s="107"/>
    </row>
    <row r="53" spans="1:15" s="1" customFormat="1" ht="22.95" customHeight="1">
      <c r="A53" s="76"/>
      <c r="B53" s="77" t="s">
        <v>945</v>
      </c>
      <c r="C53" s="20"/>
      <c r="D53" s="81" t="s">
        <v>83</v>
      </c>
      <c r="E53" s="50">
        <f>K51</f>
        <v>5.1739800000000002</v>
      </c>
      <c r="F53" s="28"/>
      <c r="G53" s="50"/>
      <c r="H53" s="50"/>
      <c r="I53" s="54"/>
      <c r="J53" s="67" t="s">
        <v>179</v>
      </c>
      <c r="K53" s="112">
        <v>27</v>
      </c>
      <c r="L53" s="113" t="s">
        <v>957</v>
      </c>
      <c r="M53" s="110"/>
      <c r="N53" s="111"/>
      <c r="O53" s="107"/>
    </row>
    <row r="54" spans="1:15" s="1" customFormat="1" ht="22.95" customHeight="1">
      <c r="A54" s="76"/>
      <c r="B54" s="77" t="s">
        <v>947</v>
      </c>
      <c r="C54" s="20"/>
      <c r="D54" s="49"/>
      <c r="E54" s="50"/>
      <c r="F54" s="28"/>
      <c r="G54" s="50"/>
      <c r="H54" s="50"/>
      <c r="I54" s="54"/>
      <c r="J54" s="104" t="s">
        <v>948</v>
      </c>
      <c r="K54" s="104" t="s">
        <v>942</v>
      </c>
      <c r="L54" s="105" t="s">
        <v>943</v>
      </c>
      <c r="M54" s="105" t="s">
        <v>179</v>
      </c>
      <c r="N54" s="111"/>
      <c r="O54" s="107"/>
    </row>
    <row r="55" spans="1:15" s="1" customFormat="1" ht="22.95" customHeight="1">
      <c r="A55" s="76">
        <v>8</v>
      </c>
      <c r="B55" s="77" t="s">
        <v>1068</v>
      </c>
      <c r="C55" s="20"/>
      <c r="D55" s="20"/>
      <c r="E55" s="20"/>
      <c r="F55" s="20"/>
      <c r="G55" s="20"/>
      <c r="H55" s="20"/>
      <c r="I55" s="99"/>
      <c r="K55" s="109">
        <f>((0.75*4)*2.54)/100*L55</f>
        <v>8.2295999999999996</v>
      </c>
      <c r="L55" s="110">
        <f>(27*(2.3-0.3)*2)</f>
        <v>108</v>
      </c>
      <c r="M55" s="110" t="s">
        <v>950</v>
      </c>
      <c r="N55" s="111"/>
      <c r="O55" s="107" t="s">
        <v>346</v>
      </c>
    </row>
    <row r="56" spans="1:15" s="1" customFormat="1" ht="22.95" customHeight="1">
      <c r="A56" s="76"/>
      <c r="B56" s="77" t="s">
        <v>945</v>
      </c>
      <c r="C56" s="20"/>
      <c r="D56" s="81" t="s">
        <v>83</v>
      </c>
      <c r="E56" s="50">
        <f>K55</f>
        <v>8.2295999999999996</v>
      </c>
      <c r="F56" s="28"/>
      <c r="G56" s="50"/>
      <c r="H56" s="50"/>
      <c r="I56" s="54"/>
      <c r="J56" s="114"/>
      <c r="N56" s="111"/>
      <c r="O56" s="107"/>
    </row>
    <row r="57" spans="1:15" s="1" customFormat="1" ht="22.95" customHeight="1">
      <c r="A57" s="82">
        <v>9</v>
      </c>
      <c r="B57" s="77" t="s">
        <v>958</v>
      </c>
      <c r="C57" s="20"/>
      <c r="D57" s="20"/>
      <c r="E57" s="83"/>
      <c r="F57" s="28"/>
      <c r="G57" s="50"/>
      <c r="H57" s="50"/>
      <c r="I57" s="54"/>
      <c r="J57" s="114"/>
      <c r="K57" s="109">
        <f>((3+3+1.5+1.5)*2.54)/100*L57</f>
        <v>12.3444</v>
      </c>
      <c r="L57" s="110">
        <f>(27*(2.3-0.3))</f>
        <v>54</v>
      </c>
      <c r="N57" s="111"/>
      <c r="O57" s="107"/>
    </row>
    <row r="58" spans="1:15" s="1" customFormat="1" ht="22.95" customHeight="1">
      <c r="A58" s="21"/>
      <c r="B58" s="84" t="s">
        <v>945</v>
      </c>
      <c r="C58" s="46"/>
      <c r="D58" s="81" t="s">
        <v>83</v>
      </c>
      <c r="E58" s="50">
        <f>K57</f>
        <v>12.3444</v>
      </c>
      <c r="F58" s="28"/>
      <c r="G58" s="50"/>
      <c r="H58" s="50"/>
      <c r="I58" s="54"/>
      <c r="J58" s="115" t="s">
        <v>109</v>
      </c>
      <c r="K58" s="109">
        <f>SUM(K45:K57)</f>
        <v>54.547823999999999</v>
      </c>
      <c r="L58" s="107"/>
      <c r="M58" s="107"/>
      <c r="N58" s="107"/>
    </row>
    <row r="59" spans="1:15" s="1" customFormat="1" ht="22.95" customHeight="1">
      <c r="A59" s="85">
        <v>10</v>
      </c>
      <c r="B59" s="86" t="s">
        <v>949</v>
      </c>
      <c r="C59" s="87"/>
      <c r="D59" s="88" t="s">
        <v>83</v>
      </c>
      <c r="E59" s="80">
        <f>E47+E50+E58+E56+E53</f>
        <v>27.547823999999999</v>
      </c>
      <c r="F59" s="28"/>
      <c r="G59" s="28"/>
      <c r="H59" s="50"/>
      <c r="I59" s="54"/>
      <c r="K59" s="116" t="s">
        <v>842</v>
      </c>
      <c r="L59" s="117" t="s">
        <v>815</v>
      </c>
    </row>
    <row r="60" spans="1:15" s="1" customFormat="1" ht="22.95" customHeight="1">
      <c r="A60" s="13">
        <v>11</v>
      </c>
      <c r="B60" s="89" t="s">
        <v>951</v>
      </c>
      <c r="C60" s="43"/>
      <c r="D60" s="81" t="s">
        <v>83</v>
      </c>
      <c r="E60" s="50">
        <f>K60+L60</f>
        <v>149.16</v>
      </c>
      <c r="F60" s="28"/>
      <c r="G60" s="28"/>
      <c r="H60" s="50"/>
      <c r="I60" s="54"/>
      <c r="J60" s="113" t="s">
        <v>952</v>
      </c>
      <c r="K60" s="4">
        <f>((0.4+0.4+0.2)*(120-(0.2*27)))</f>
        <v>114.6</v>
      </c>
      <c r="L60" s="4">
        <f>((0.2*1.6*4)*(27))</f>
        <v>34.56</v>
      </c>
      <c r="M60" s="114" t="s">
        <v>83</v>
      </c>
    </row>
    <row r="61" spans="1:15" s="1" customFormat="1" ht="22.95" customHeight="1">
      <c r="A61" s="21"/>
      <c r="B61" s="22" t="s">
        <v>953</v>
      </c>
      <c r="C61" s="20"/>
      <c r="D61" s="81"/>
      <c r="E61" s="50"/>
      <c r="F61" s="28"/>
      <c r="G61" s="28"/>
      <c r="H61" s="50"/>
      <c r="I61" s="54"/>
      <c r="L61" s="1">
        <f>1.05+0.27</f>
        <v>1.32</v>
      </c>
    </row>
    <row r="62" spans="1:15" s="1" customFormat="1" ht="22.95" customHeight="1">
      <c r="A62" s="60"/>
      <c r="B62" s="33"/>
      <c r="C62" s="34"/>
      <c r="D62" s="90"/>
      <c r="E62" s="91"/>
      <c r="F62" s="64"/>
      <c r="G62" s="64"/>
      <c r="H62" s="91"/>
      <c r="I62" s="118"/>
    </row>
    <row r="63" spans="1:15" ht="22.95" customHeight="1"/>
    <row r="64" spans="1:15" ht="22.95" customHeight="1"/>
    <row r="65" spans="1:15" ht="22.95" customHeight="1">
      <c r="B65" s="119" t="s">
        <v>954</v>
      </c>
      <c r="J65" s="104" t="s">
        <v>948</v>
      </c>
      <c r="K65" s="104" t="s">
        <v>942</v>
      </c>
      <c r="L65" s="105" t="s">
        <v>943</v>
      </c>
      <c r="M65" s="105" t="s">
        <v>179</v>
      </c>
    </row>
    <row r="66" spans="1:15" s="1" customFormat="1" ht="22.95" customHeight="1">
      <c r="A66" s="76">
        <v>12</v>
      </c>
      <c r="B66" s="77" t="s">
        <v>955</v>
      </c>
      <c r="C66" s="20"/>
      <c r="D66" s="49" t="s">
        <v>346</v>
      </c>
      <c r="E66" s="50"/>
      <c r="F66" s="28"/>
      <c r="G66" s="50">
        <f>C20</f>
        <v>0</v>
      </c>
      <c r="H66" s="50"/>
      <c r="I66" s="54"/>
      <c r="J66" s="108">
        <v>2.1</v>
      </c>
      <c r="K66" s="109">
        <f>((0.5+0.5+0.5+0.5)*2.54)/100*M66*6</f>
        <v>5.5270400000000004</v>
      </c>
      <c r="L66" s="1">
        <f>1.7</f>
        <v>1.7</v>
      </c>
      <c r="M66" s="110">
        <f>L66*64/6</f>
        <v>18.133333333333301</v>
      </c>
      <c r="N66" s="111">
        <v>19</v>
      </c>
      <c r="O66" s="107" t="s">
        <v>346</v>
      </c>
    </row>
    <row r="67" spans="1:15" s="1" customFormat="1" ht="22.95" customHeight="1">
      <c r="A67" s="76"/>
      <c r="B67" s="77" t="s">
        <v>956</v>
      </c>
      <c r="C67" s="20"/>
      <c r="D67" s="79"/>
      <c r="E67" s="80"/>
      <c r="F67" s="28"/>
      <c r="G67" s="50"/>
      <c r="H67" s="50"/>
      <c r="I67" s="54"/>
      <c r="J67" s="108"/>
      <c r="K67" s="109"/>
      <c r="M67" s="110"/>
      <c r="N67" s="111"/>
      <c r="O67" s="107"/>
    </row>
    <row r="68" spans="1:15" s="1" customFormat="1" ht="22.95" customHeight="1">
      <c r="A68" s="76"/>
      <c r="B68" s="77" t="s">
        <v>945</v>
      </c>
      <c r="C68" s="20"/>
      <c r="D68" s="81" t="s">
        <v>83</v>
      </c>
      <c r="E68" s="50">
        <f>K66</f>
        <v>5.5270400000000004</v>
      </c>
      <c r="F68" s="28"/>
      <c r="G68" s="50"/>
      <c r="H68" s="50"/>
      <c r="I68" s="54"/>
      <c r="J68" s="67" t="s">
        <v>179</v>
      </c>
      <c r="K68" s="112">
        <v>27</v>
      </c>
      <c r="L68" s="113" t="s">
        <v>957</v>
      </c>
      <c r="M68" s="110"/>
      <c r="N68" s="111"/>
      <c r="O68" s="107"/>
    </row>
    <row r="69" spans="1:15" s="1" customFormat="1" ht="22.95" customHeight="1">
      <c r="A69" s="82">
        <v>13</v>
      </c>
      <c r="B69" s="77" t="s">
        <v>958</v>
      </c>
      <c r="C69" s="20"/>
      <c r="D69" s="20"/>
      <c r="E69" s="83"/>
      <c r="F69" s="28"/>
      <c r="G69" s="50"/>
      <c r="H69" s="50"/>
      <c r="I69" s="54"/>
      <c r="J69" s="114"/>
      <c r="K69" s="109">
        <f>((3+3+1.5+1.5)*2.54)/100*L69</f>
        <v>4.2976799999999997</v>
      </c>
      <c r="L69" s="110">
        <f>((1.9*2)+(5*3))</f>
        <v>18.8</v>
      </c>
      <c r="N69" s="111"/>
      <c r="O69" s="107"/>
    </row>
    <row r="70" spans="1:15" s="1" customFormat="1" ht="22.95" customHeight="1">
      <c r="A70" s="21"/>
      <c r="B70" s="84" t="s">
        <v>945</v>
      </c>
      <c r="C70" s="46"/>
      <c r="D70" s="81" t="s">
        <v>83</v>
      </c>
      <c r="E70" s="78">
        <f>K69</f>
        <v>4.2976799999999997</v>
      </c>
      <c r="F70" s="28"/>
      <c r="G70" s="50"/>
      <c r="H70" s="50"/>
      <c r="I70" s="54"/>
      <c r="J70" s="115" t="s">
        <v>109</v>
      </c>
      <c r="K70" s="109">
        <f>SUM(K56:K69)</f>
        <v>218.31694400000001</v>
      </c>
      <c r="L70" s="107"/>
      <c r="M70" s="107"/>
      <c r="N70" s="107"/>
    </row>
    <row r="71" spans="1:15" ht="22.05" customHeight="1">
      <c r="D71" s="120" t="s">
        <v>959</v>
      </c>
      <c r="E71" s="121">
        <f>E68+E70</f>
        <v>9.8247199999999992</v>
      </c>
      <c r="F71" s="81" t="s">
        <v>83</v>
      </c>
    </row>
    <row r="72" spans="1:15" ht="22.95" customHeight="1">
      <c r="B72" s="119" t="s">
        <v>960</v>
      </c>
      <c r="J72" s="104" t="s">
        <v>948</v>
      </c>
      <c r="K72" s="104" t="s">
        <v>942</v>
      </c>
      <c r="L72" s="105" t="s">
        <v>943</v>
      </c>
      <c r="M72" s="105" t="s">
        <v>179</v>
      </c>
    </row>
    <row r="73" spans="1:15" s="1" customFormat="1" ht="22.95" customHeight="1">
      <c r="A73" s="76">
        <v>14</v>
      </c>
      <c r="B73" s="77" t="s">
        <v>961</v>
      </c>
      <c r="C73" s="20"/>
      <c r="D73" s="49" t="s">
        <v>346</v>
      </c>
      <c r="E73" s="50"/>
      <c r="F73" s="28"/>
      <c r="G73" s="50">
        <f>C27</f>
        <v>0</v>
      </c>
      <c r="H73" s="50"/>
      <c r="I73" s="54"/>
      <c r="J73" s="109">
        <v>10.130000000000001</v>
      </c>
      <c r="K73" s="109">
        <f>(2*22/7*0.0254*L73)</f>
        <v>2.9792022857142899</v>
      </c>
      <c r="L73" s="1">
        <f>(1.9*2+(2.5*2))+9.86</f>
        <v>18.66</v>
      </c>
      <c r="M73" s="110"/>
      <c r="N73" s="111"/>
      <c r="O73" s="107" t="s">
        <v>346</v>
      </c>
    </row>
    <row r="74" spans="1:15" s="1" customFormat="1" ht="22.95" customHeight="1">
      <c r="A74" s="76"/>
      <c r="B74" s="77" t="s">
        <v>956</v>
      </c>
      <c r="C74" s="20"/>
      <c r="D74" s="79"/>
      <c r="E74" s="80"/>
      <c r="F74" s="28"/>
      <c r="G74" s="50"/>
      <c r="H74" s="50"/>
      <c r="I74" s="54"/>
      <c r="J74" s="108"/>
      <c r="K74" s="109"/>
      <c r="M74" s="110"/>
      <c r="N74" s="111"/>
      <c r="O74" s="107"/>
    </row>
    <row r="75" spans="1:15" s="1" customFormat="1" ht="22.95" customHeight="1">
      <c r="A75" s="76"/>
      <c r="B75" s="77" t="s">
        <v>945</v>
      </c>
      <c r="C75" s="20"/>
      <c r="D75" s="81" t="s">
        <v>83</v>
      </c>
      <c r="E75" s="50">
        <f>K73</f>
        <v>2.9792022857142899</v>
      </c>
      <c r="F75" s="28"/>
      <c r="G75" s="50"/>
      <c r="H75" s="50"/>
      <c r="I75" s="54"/>
      <c r="J75" s="67" t="s">
        <v>179</v>
      </c>
      <c r="K75" s="112">
        <v>27</v>
      </c>
      <c r="L75" s="113" t="s">
        <v>957</v>
      </c>
      <c r="M75" s="110"/>
      <c r="N75" s="111"/>
      <c r="O75" s="107"/>
    </row>
    <row r="76" spans="1:15" s="1" customFormat="1" ht="22.95" customHeight="1">
      <c r="A76" s="82">
        <v>15</v>
      </c>
      <c r="B76" s="77" t="s">
        <v>958</v>
      </c>
      <c r="C76" s="20"/>
      <c r="D76" s="20"/>
      <c r="E76" s="83"/>
      <c r="F76" s="28"/>
      <c r="G76" s="50"/>
      <c r="H76" s="50"/>
      <c r="I76" s="54"/>
      <c r="J76" s="114"/>
      <c r="K76" s="109">
        <f>((3+3+1.5+1.5)*2.54)/100*L76</f>
        <v>4.2976799999999997</v>
      </c>
      <c r="L76" s="110">
        <f>((1.9*2)+(5*3))</f>
        <v>18.8</v>
      </c>
      <c r="N76" s="111"/>
      <c r="O76" s="107"/>
    </row>
    <row r="77" spans="1:15" s="1" customFormat="1" ht="22.95" customHeight="1">
      <c r="A77" s="21"/>
      <c r="B77" s="84" t="s">
        <v>945</v>
      </c>
      <c r="C77" s="46"/>
      <c r="D77" s="81" t="s">
        <v>83</v>
      </c>
      <c r="E77" s="78">
        <v>1.5</v>
      </c>
      <c r="F77" s="28"/>
      <c r="G77" s="50"/>
      <c r="H77" s="50"/>
      <c r="I77" s="54"/>
      <c r="J77" s="115" t="s">
        <v>109</v>
      </c>
      <c r="K77" s="109">
        <f>SUM(K63:K76)</f>
        <v>289.418546285714</v>
      </c>
      <c r="L77" s="107"/>
      <c r="M77" s="107"/>
      <c r="N77" s="107"/>
    </row>
    <row r="78" spans="1:15" ht="22.05" customHeight="1">
      <c r="E78" s="122">
        <f>E75+E77</f>
        <v>4.4792022857142904</v>
      </c>
    </row>
    <row r="79" spans="1:15" ht="22.95" customHeight="1">
      <c r="C79" s="120"/>
      <c r="D79" s="120" t="s">
        <v>959</v>
      </c>
      <c r="E79" s="123">
        <f>E71+E78+E59</f>
        <v>41.851746285714299</v>
      </c>
      <c r="F79" s="81" t="s">
        <v>83</v>
      </c>
    </row>
  </sheetData>
  <mergeCells count="8">
    <mergeCell ref="A3:A4"/>
    <mergeCell ref="A26:A27"/>
    <mergeCell ref="D3:D4"/>
    <mergeCell ref="D26:D27"/>
    <mergeCell ref="E3:E4"/>
    <mergeCell ref="E26:E27"/>
    <mergeCell ref="B3:C4"/>
    <mergeCell ref="B26:C27"/>
  </mergeCells>
  <pageMargins left="4.3055555555555597E-2" right="0.70069444444444495" top="0.75138888888888899" bottom="0.75138888888888899" header="0.29861111111111099" footer="0.298611111111110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35"/>
  <sheetViews>
    <sheetView topLeftCell="A84" workbookViewId="0">
      <selection activeCell="G110" sqref="G110"/>
    </sheetView>
  </sheetViews>
  <sheetFormatPr defaultColWidth="9.109375" defaultRowHeight="15.6"/>
  <cols>
    <col min="1" max="10" width="9.109375" style="1374"/>
    <col min="11" max="11" width="11.44140625" style="1374" customWidth="1"/>
    <col min="12" max="16384" width="9.109375" style="1374"/>
  </cols>
  <sheetData>
    <row r="1" spans="1:12" s="1373" customFormat="1" ht="18" customHeight="1">
      <c r="A1" s="1954" t="s">
        <v>305</v>
      </c>
      <c r="B1" s="1954"/>
      <c r="C1" s="1954"/>
      <c r="D1" s="1954"/>
      <c r="E1" s="1954"/>
      <c r="F1" s="1954"/>
      <c r="G1" s="1954"/>
      <c r="H1" s="1954"/>
      <c r="I1" s="1954"/>
      <c r="J1" s="1954"/>
      <c r="K1" s="1954"/>
      <c r="L1" s="1954"/>
    </row>
    <row r="2" spans="1:12" s="1373" customFormat="1" ht="18" customHeight="1">
      <c r="A2" s="1375" t="s">
        <v>306</v>
      </c>
      <c r="B2" s="1376"/>
      <c r="C2" s="1376"/>
      <c r="D2" s="1376"/>
      <c r="E2" s="1376"/>
      <c r="F2" s="1376"/>
      <c r="G2" s="1376"/>
      <c r="H2" s="1376"/>
      <c r="I2" s="1376"/>
      <c r="J2" s="1376"/>
      <c r="K2" s="1376"/>
      <c r="L2" s="1376"/>
    </row>
    <row r="3" spans="1:12" s="1373" customFormat="1" ht="18" customHeight="1">
      <c r="A3" s="1376" t="s">
        <v>307</v>
      </c>
      <c r="B3" s="1376"/>
      <c r="C3" s="1376"/>
      <c r="D3" s="1376"/>
      <c r="E3" s="1375"/>
      <c r="F3" s="1376"/>
      <c r="G3" s="1376"/>
      <c r="H3" s="1376"/>
      <c r="I3" s="1376"/>
      <c r="J3" s="1376"/>
      <c r="K3" s="1376"/>
      <c r="L3" s="1376"/>
    </row>
    <row r="4" spans="1:12" s="1373" customFormat="1" ht="18" customHeight="1">
      <c r="A4" s="1375" t="s">
        <v>308</v>
      </c>
      <c r="B4" s="1376"/>
      <c r="C4" s="1376"/>
      <c r="D4" s="1376"/>
      <c r="E4" s="1376"/>
      <c r="F4" s="1376"/>
      <c r="G4" s="1376"/>
      <c r="H4" s="1376"/>
      <c r="I4" s="1376"/>
      <c r="J4" s="1376"/>
      <c r="K4" s="1376"/>
      <c r="L4" s="1376"/>
    </row>
    <row r="5" spans="1:12" s="1373" customFormat="1" ht="18" customHeight="1">
      <c r="A5" s="1376"/>
      <c r="B5" s="1376"/>
      <c r="C5" s="1376"/>
      <c r="D5" s="1376"/>
      <c r="E5" s="1376"/>
      <c r="F5" s="1376"/>
      <c r="G5" s="1376"/>
      <c r="H5" s="1376"/>
      <c r="I5" s="1376"/>
      <c r="J5" s="1376"/>
      <c r="K5" s="1376"/>
      <c r="L5" s="1376"/>
    </row>
    <row r="6" spans="1:12" s="1373" customFormat="1" ht="18" customHeight="1">
      <c r="A6" s="1376" t="s">
        <v>309</v>
      </c>
      <c r="B6" s="1376"/>
      <c r="C6" s="1376"/>
      <c r="D6" s="1376"/>
      <c r="E6" s="1376"/>
      <c r="F6" s="1376"/>
      <c r="G6" s="1376"/>
      <c r="H6" s="1376"/>
      <c r="I6" s="1376"/>
      <c r="J6" s="1376"/>
      <c r="K6" s="1376"/>
      <c r="L6" s="1376"/>
    </row>
    <row r="7" spans="1:12" s="1373" customFormat="1" ht="18" customHeight="1">
      <c r="A7" s="1377" t="s">
        <v>310</v>
      </c>
      <c r="B7" s="1378" t="s">
        <v>311</v>
      </c>
      <c r="C7" s="1379"/>
      <c r="D7" s="1380"/>
      <c r="E7" s="1381" t="s">
        <v>312</v>
      </c>
      <c r="F7" s="1378" t="s">
        <v>313</v>
      </c>
      <c r="G7" s="1382" t="s">
        <v>314</v>
      </c>
      <c r="H7" s="1383"/>
      <c r="I7" s="1382" t="s">
        <v>315</v>
      </c>
      <c r="J7" s="1383"/>
      <c r="K7" s="1381" t="s">
        <v>316</v>
      </c>
      <c r="L7" s="1381" t="s">
        <v>100</v>
      </c>
    </row>
    <row r="8" spans="1:12" s="1373" customFormat="1" ht="18" customHeight="1">
      <c r="A8" s="1384"/>
      <c r="B8" s="1385"/>
      <c r="C8" s="1386"/>
      <c r="D8" s="1387"/>
      <c r="E8" s="1384"/>
      <c r="F8" s="1385"/>
      <c r="G8" s="1385" t="s">
        <v>317</v>
      </c>
      <c r="H8" s="1388" t="s">
        <v>318</v>
      </c>
      <c r="I8" s="1385" t="s">
        <v>180</v>
      </c>
      <c r="J8" s="1404" t="s">
        <v>319</v>
      </c>
      <c r="K8" s="1384" t="s">
        <v>320</v>
      </c>
      <c r="L8" s="1384"/>
    </row>
    <row r="9" spans="1:12" s="1373" customFormat="1" ht="18" customHeight="1">
      <c r="A9" s="1389">
        <v>1</v>
      </c>
      <c r="B9" s="1382" t="s">
        <v>321</v>
      </c>
      <c r="C9" s="1390"/>
      <c r="D9" s="1383"/>
      <c r="E9" s="1391">
        <v>0.5</v>
      </c>
      <c r="F9" s="1391" t="s">
        <v>184</v>
      </c>
      <c r="G9" s="1392">
        <v>364.49</v>
      </c>
      <c r="H9" s="1392">
        <f t="shared" ref="H9:H11" si="0">G9*E9</f>
        <v>182.245</v>
      </c>
      <c r="I9" s="1392">
        <v>99</v>
      </c>
      <c r="J9" s="1392">
        <f t="shared" ref="J9:J12" si="1">I9*E9</f>
        <v>49.5</v>
      </c>
      <c r="K9" s="1392">
        <f t="shared" ref="K9:K11" si="2">J9+H9</f>
        <v>231.745</v>
      </c>
      <c r="L9" s="1388"/>
    </row>
    <row r="10" spans="1:12" s="1373" customFormat="1" ht="18" customHeight="1">
      <c r="A10" s="1389">
        <v>2</v>
      </c>
      <c r="B10" s="1382" t="s">
        <v>322</v>
      </c>
      <c r="C10" s="1386"/>
      <c r="D10" s="1383"/>
      <c r="E10" s="1391">
        <v>1</v>
      </c>
      <c r="F10" s="1391" t="s">
        <v>184</v>
      </c>
      <c r="G10" s="1392">
        <v>1783.8</v>
      </c>
      <c r="H10" s="1392">
        <f t="shared" si="0"/>
        <v>1783.8</v>
      </c>
      <c r="I10" s="1391">
        <v>398</v>
      </c>
      <c r="J10" s="1391">
        <f t="shared" si="1"/>
        <v>398</v>
      </c>
      <c r="K10" s="1392">
        <f t="shared" si="2"/>
        <v>2181.8000000000002</v>
      </c>
      <c r="L10" s="1388"/>
    </row>
    <row r="11" spans="1:12" s="1373" customFormat="1" ht="18" customHeight="1">
      <c r="A11" s="1389">
        <v>3</v>
      </c>
      <c r="B11" s="1382" t="s">
        <v>323</v>
      </c>
      <c r="C11" s="1393"/>
      <c r="D11" s="1393"/>
      <c r="E11" s="1394">
        <v>5</v>
      </c>
      <c r="F11" s="1394" t="s">
        <v>184</v>
      </c>
      <c r="G11" s="1392">
        <v>1831.46</v>
      </c>
      <c r="H11" s="1392">
        <f t="shared" si="0"/>
        <v>9157.2999999999993</v>
      </c>
      <c r="I11" s="1391">
        <v>498</v>
      </c>
      <c r="J11" s="1391">
        <f t="shared" si="1"/>
        <v>2490</v>
      </c>
      <c r="K11" s="1392">
        <f t="shared" si="2"/>
        <v>11647.3</v>
      </c>
      <c r="L11" s="1388"/>
    </row>
    <row r="12" spans="1:12" s="1373" customFormat="1" ht="18" customHeight="1">
      <c r="A12" s="1389">
        <v>4</v>
      </c>
      <c r="B12" s="1382" t="s">
        <v>324</v>
      </c>
      <c r="C12" s="1390"/>
      <c r="D12" s="1383"/>
      <c r="E12" s="1395">
        <v>42</v>
      </c>
      <c r="F12" s="1391" t="s">
        <v>83</v>
      </c>
      <c r="G12" s="1391" t="s">
        <v>104</v>
      </c>
      <c r="H12" s="1391" t="s">
        <v>104</v>
      </c>
      <c r="I12" s="1391">
        <v>133</v>
      </c>
      <c r="J12" s="1391">
        <f t="shared" si="1"/>
        <v>5586</v>
      </c>
      <c r="K12" s="1392">
        <f>J12</f>
        <v>5586</v>
      </c>
      <c r="L12" s="1388"/>
    </row>
    <row r="13" spans="1:12" s="1373" customFormat="1" ht="18" customHeight="1">
      <c r="A13" s="1389"/>
      <c r="B13" s="1382" t="s">
        <v>325</v>
      </c>
      <c r="C13" s="1386"/>
      <c r="D13" s="1383"/>
      <c r="E13" s="1394">
        <v>14.8</v>
      </c>
      <c r="F13" s="1391" t="s">
        <v>73</v>
      </c>
      <c r="G13" s="1392">
        <v>450</v>
      </c>
      <c r="H13" s="1392">
        <f>G13*E1:E13</f>
        <v>6660</v>
      </c>
      <c r="I13" s="1391" t="s">
        <v>104</v>
      </c>
      <c r="J13" s="1391" t="s">
        <v>104</v>
      </c>
      <c r="K13" s="1392">
        <f t="shared" ref="K13:K17" si="3">H13</f>
        <v>6660</v>
      </c>
      <c r="L13" s="1388"/>
    </row>
    <row r="14" spans="1:12" s="1373" customFormat="1" ht="18" customHeight="1">
      <c r="A14" s="1389"/>
      <c r="B14" s="1382" t="s">
        <v>326</v>
      </c>
      <c r="C14" s="1386"/>
      <c r="D14" s="1383"/>
      <c r="E14" s="1391">
        <v>10</v>
      </c>
      <c r="F14" s="1391" t="s">
        <v>81</v>
      </c>
      <c r="G14" s="1392">
        <v>42.43</v>
      </c>
      <c r="H14" s="1392">
        <f t="shared" ref="H14:H17" si="4">G14*E14</f>
        <v>424.3</v>
      </c>
      <c r="I14" s="1391" t="s">
        <v>104</v>
      </c>
      <c r="J14" s="1391" t="s">
        <v>104</v>
      </c>
      <c r="K14" s="1392">
        <f t="shared" si="3"/>
        <v>424.3</v>
      </c>
      <c r="L14" s="1388"/>
    </row>
    <row r="15" spans="1:12" s="1373" customFormat="1" ht="18" customHeight="1">
      <c r="A15" s="1396">
        <v>5</v>
      </c>
      <c r="B15" s="1382" t="s">
        <v>327</v>
      </c>
      <c r="C15" s="1393"/>
      <c r="D15" s="1393"/>
      <c r="E15" s="1394"/>
      <c r="F15" s="1394"/>
      <c r="G15" s="1392"/>
      <c r="H15" s="1392"/>
      <c r="I15" s="1392"/>
      <c r="J15" s="1392"/>
      <c r="K15" s="1392"/>
      <c r="L15" s="1388"/>
    </row>
    <row r="16" spans="1:12" s="1373" customFormat="1" ht="18" customHeight="1">
      <c r="A16" s="1396"/>
      <c r="B16" s="1382" t="s">
        <v>328</v>
      </c>
      <c r="C16" s="1393"/>
      <c r="D16" s="1393"/>
      <c r="E16" s="1394">
        <v>0.04</v>
      </c>
      <c r="F16" s="1394" t="s">
        <v>191</v>
      </c>
      <c r="G16" s="1392">
        <v>26069.63</v>
      </c>
      <c r="H16" s="1392">
        <f t="shared" si="4"/>
        <v>1042.7852</v>
      </c>
      <c r="I16" s="1391" t="s">
        <v>104</v>
      </c>
      <c r="J16" s="1391" t="s">
        <v>104</v>
      </c>
      <c r="K16" s="1392">
        <f t="shared" si="3"/>
        <v>1042.7852</v>
      </c>
      <c r="L16" s="1388"/>
    </row>
    <row r="17" spans="1:12" s="1373" customFormat="1" ht="18" customHeight="1">
      <c r="A17" s="1396"/>
      <c r="B17" s="1382" t="s">
        <v>329</v>
      </c>
      <c r="C17" s="1393"/>
      <c r="D17" s="1393"/>
      <c r="E17" s="1394">
        <v>0.25</v>
      </c>
      <c r="F17" s="1394" t="s">
        <v>191</v>
      </c>
      <c r="G17" s="1392">
        <v>24819.32</v>
      </c>
      <c r="H17" s="1392">
        <f t="shared" si="4"/>
        <v>6204.83</v>
      </c>
      <c r="I17" s="1391" t="s">
        <v>104</v>
      </c>
      <c r="J17" s="1391" t="s">
        <v>104</v>
      </c>
      <c r="K17" s="1392">
        <f t="shared" si="3"/>
        <v>6204.83</v>
      </c>
      <c r="L17" s="1388"/>
    </row>
    <row r="18" spans="1:12" s="1373" customFormat="1" ht="18" customHeight="1">
      <c r="A18" s="1396"/>
      <c r="B18" s="1382"/>
      <c r="C18" s="1393"/>
      <c r="D18" s="1397" t="s">
        <v>330</v>
      </c>
      <c r="E18" s="1389"/>
      <c r="F18" s="1398"/>
      <c r="G18" s="1392"/>
      <c r="H18" s="1392"/>
      <c r="I18" s="1392"/>
      <c r="J18" s="1392"/>
      <c r="K18" s="1405">
        <f>SUM(K9:K17)</f>
        <v>33978.760199999997</v>
      </c>
      <c r="L18" s="1388"/>
    </row>
    <row r="19" spans="1:12" s="1373" customFormat="1" ht="18" customHeight="1">
      <c r="A19" s="1396"/>
      <c r="B19" s="1399" t="s">
        <v>331</v>
      </c>
      <c r="C19" s="1399"/>
      <c r="D19" s="1399"/>
      <c r="E19" s="1397"/>
      <c r="F19" s="1400"/>
      <c r="G19" s="1401"/>
      <c r="H19" s="1401"/>
      <c r="I19" s="1401"/>
      <c r="J19" s="1406"/>
      <c r="K19" s="1406"/>
      <c r="L19" s="1383"/>
    </row>
    <row r="20" spans="1:12" s="1373" customFormat="1" ht="20.100000000000001" customHeight="1"/>
    <row r="21" spans="1:12" s="1373" customFormat="1" ht="20.100000000000001" customHeight="1">
      <c r="A21" s="1402" t="s">
        <v>332</v>
      </c>
      <c r="B21" s="1402"/>
      <c r="C21" s="1402"/>
      <c r="D21" s="1402"/>
      <c r="E21" s="1402"/>
      <c r="F21" s="1402"/>
      <c r="G21" s="1402"/>
      <c r="H21" s="1402"/>
      <c r="I21" s="1402"/>
      <c r="J21" s="1402"/>
      <c r="K21" s="1407"/>
      <c r="L21" s="1402"/>
    </row>
    <row r="22" spans="1:12" s="1373" customFormat="1" ht="20.100000000000001" customHeight="1">
      <c r="A22" s="1402" t="s">
        <v>333</v>
      </c>
      <c r="B22" s="1402"/>
      <c r="C22" s="1402"/>
      <c r="D22" s="1402"/>
      <c r="E22" s="1402"/>
      <c r="F22" s="1402"/>
      <c r="G22" s="1402"/>
      <c r="H22" s="1402"/>
      <c r="I22" s="1402"/>
      <c r="J22" s="1402"/>
      <c r="K22" s="1407"/>
      <c r="L22" s="1402"/>
    </row>
    <row r="23" spans="1:12" s="1373" customFormat="1" ht="20.100000000000001" customHeight="1">
      <c r="A23" s="1402" t="s">
        <v>334</v>
      </c>
      <c r="B23" s="1402"/>
      <c r="C23" s="1402"/>
      <c r="D23" s="1402"/>
      <c r="E23" s="1402"/>
      <c r="F23" s="1402"/>
      <c r="G23" s="1402"/>
      <c r="H23" s="1402"/>
      <c r="I23" s="1402"/>
      <c r="J23" s="1402"/>
      <c r="K23" s="1407"/>
      <c r="L23" s="1402"/>
    </row>
    <row r="24" spans="1:12" s="1373" customFormat="1" ht="20.100000000000001" customHeight="1">
      <c r="A24" s="1402" t="s">
        <v>335</v>
      </c>
      <c r="B24" s="1402"/>
      <c r="C24" s="1402"/>
      <c r="D24" s="1402"/>
      <c r="E24" s="1402"/>
      <c r="F24" s="1402"/>
      <c r="G24" s="1402"/>
      <c r="H24" s="1402" t="s">
        <v>336</v>
      </c>
      <c r="I24" s="1402"/>
      <c r="J24" s="1402"/>
      <c r="K24" s="1402"/>
      <c r="L24" s="1402"/>
    </row>
    <row r="25" spans="1:12" s="1373" customFormat="1" ht="20.100000000000001" customHeight="1">
      <c r="A25" s="1402" t="s">
        <v>337</v>
      </c>
      <c r="B25" s="1402"/>
      <c r="C25" s="1402"/>
      <c r="D25" s="1402"/>
      <c r="E25" s="1402"/>
      <c r="F25" s="1402"/>
      <c r="G25" s="1402"/>
      <c r="H25" s="1402" t="s">
        <v>338</v>
      </c>
      <c r="I25" s="1402"/>
      <c r="J25" s="1402"/>
      <c r="K25" s="1402"/>
      <c r="L25" s="1402"/>
    </row>
    <row r="26" spans="1:12" s="1373" customFormat="1" ht="20.100000000000001" customHeight="1">
      <c r="A26" s="1402" t="s">
        <v>339</v>
      </c>
      <c r="B26" s="1402"/>
      <c r="C26" s="1402"/>
      <c r="D26" s="1402"/>
      <c r="E26" s="1402"/>
      <c r="F26" s="1402"/>
      <c r="G26" s="1402"/>
      <c r="H26" s="1402" t="s">
        <v>340</v>
      </c>
      <c r="I26" s="1402"/>
      <c r="J26" s="1402"/>
      <c r="K26" s="1402"/>
      <c r="L26" s="1402"/>
    </row>
    <row r="27" spans="1:12" ht="20.100000000000001" customHeight="1"/>
    <row r="28" spans="1:12" s="1373" customFormat="1" ht="18" customHeight="1">
      <c r="A28" s="1954" t="s">
        <v>305</v>
      </c>
      <c r="B28" s="1954"/>
      <c r="C28" s="1954"/>
      <c r="D28" s="1954"/>
      <c r="E28" s="1954"/>
      <c r="F28" s="1954"/>
      <c r="G28" s="1954"/>
      <c r="H28" s="1954"/>
      <c r="I28" s="1954"/>
      <c r="J28" s="1954"/>
      <c r="K28" s="1954"/>
      <c r="L28" s="1954"/>
    </row>
    <row r="29" spans="1:12" s="1373" customFormat="1" ht="18" customHeight="1">
      <c r="A29" s="1375" t="s">
        <v>306</v>
      </c>
      <c r="B29" s="1376"/>
      <c r="C29" s="1376"/>
      <c r="D29" s="1376"/>
      <c r="E29" s="1376"/>
      <c r="F29" s="1376"/>
      <c r="G29" s="1376"/>
      <c r="H29" s="1376"/>
      <c r="I29" s="1376"/>
      <c r="J29" s="1376"/>
      <c r="K29" s="1376"/>
      <c r="L29" s="1376"/>
    </row>
    <row r="30" spans="1:12" s="1373" customFormat="1" ht="18" customHeight="1">
      <c r="A30" s="1376" t="s">
        <v>307</v>
      </c>
      <c r="B30" s="1376"/>
      <c r="C30" s="1376"/>
      <c r="D30" s="1376"/>
      <c r="E30" s="1375"/>
      <c r="F30" s="1376"/>
      <c r="G30" s="1376"/>
      <c r="H30" s="1376"/>
      <c r="I30" s="1376"/>
      <c r="J30" s="1376"/>
      <c r="K30" s="1376"/>
      <c r="L30" s="1376"/>
    </row>
    <row r="31" spans="1:12" s="1373" customFormat="1" ht="18" customHeight="1">
      <c r="A31" s="1375" t="s">
        <v>308</v>
      </c>
      <c r="B31" s="1376"/>
      <c r="C31" s="1376"/>
      <c r="D31" s="1376"/>
      <c r="E31" s="1376"/>
      <c r="F31" s="1376"/>
      <c r="G31" s="1376"/>
      <c r="H31" s="1376"/>
      <c r="I31" s="1376"/>
      <c r="J31" s="1376"/>
      <c r="K31" s="1376"/>
      <c r="L31" s="1376"/>
    </row>
    <row r="32" spans="1:12" s="1373" customFormat="1" ht="18" customHeight="1">
      <c r="A32" s="1376"/>
      <c r="B32" s="1376"/>
      <c r="C32" s="1376"/>
      <c r="D32" s="1376"/>
      <c r="E32" s="1376"/>
      <c r="F32" s="1376"/>
      <c r="G32" s="1376"/>
      <c r="H32" s="1376"/>
      <c r="I32" s="1376"/>
      <c r="J32" s="1376"/>
      <c r="K32" s="1376"/>
      <c r="L32" s="1376"/>
    </row>
    <row r="33" spans="1:12" s="1373" customFormat="1" ht="18" customHeight="1">
      <c r="A33" s="1376" t="s">
        <v>341</v>
      </c>
      <c r="B33" s="1376"/>
      <c r="C33" s="1376"/>
      <c r="D33" s="1376"/>
      <c r="E33" s="1376"/>
      <c r="F33" s="1376"/>
      <c r="G33" s="1376"/>
      <c r="H33" s="1376"/>
      <c r="I33" s="1376"/>
      <c r="J33" s="1376"/>
      <c r="K33" s="1376"/>
      <c r="L33" s="1376"/>
    </row>
    <row r="34" spans="1:12" s="1373" customFormat="1" ht="18" customHeight="1">
      <c r="A34" s="1377" t="s">
        <v>310</v>
      </c>
      <c r="B34" s="1378" t="s">
        <v>311</v>
      </c>
      <c r="C34" s="1379"/>
      <c r="D34" s="1380"/>
      <c r="E34" s="1381" t="s">
        <v>312</v>
      </c>
      <c r="F34" s="1378" t="s">
        <v>313</v>
      </c>
      <c r="G34" s="1382" t="s">
        <v>314</v>
      </c>
      <c r="H34" s="1383"/>
      <c r="I34" s="1382" t="s">
        <v>315</v>
      </c>
      <c r="J34" s="1383"/>
      <c r="K34" s="1381" t="s">
        <v>316</v>
      </c>
      <c r="L34" s="1381" t="s">
        <v>100</v>
      </c>
    </row>
    <row r="35" spans="1:12" s="1373" customFormat="1" ht="18" customHeight="1">
      <c r="A35" s="1384"/>
      <c r="B35" s="1385"/>
      <c r="C35" s="1386"/>
      <c r="D35" s="1387"/>
      <c r="E35" s="1384"/>
      <c r="F35" s="1385"/>
      <c r="G35" s="1385" t="s">
        <v>317</v>
      </c>
      <c r="H35" s="1388" t="s">
        <v>318</v>
      </c>
      <c r="I35" s="1385" t="s">
        <v>180</v>
      </c>
      <c r="J35" s="1404" t="s">
        <v>319</v>
      </c>
      <c r="K35" s="1384" t="s">
        <v>320</v>
      </c>
      <c r="L35" s="1384"/>
    </row>
    <row r="36" spans="1:12" s="1373" customFormat="1" ht="18" customHeight="1">
      <c r="A36" s="1389"/>
      <c r="B36" s="1382"/>
      <c r="C36" s="1390"/>
      <c r="D36" s="1403" t="s">
        <v>342</v>
      </c>
      <c r="E36" s="1391"/>
      <c r="F36" s="1391"/>
      <c r="G36" s="1392"/>
      <c r="H36" s="1392"/>
      <c r="I36" s="1392"/>
      <c r="J36" s="1392"/>
      <c r="K36" s="1405">
        <f>K18</f>
        <v>33978.760199999997</v>
      </c>
      <c r="L36" s="1388"/>
    </row>
    <row r="37" spans="1:12" s="1373" customFormat="1" ht="18" customHeight="1">
      <c r="A37" s="1389"/>
      <c r="B37" s="1382" t="s">
        <v>50</v>
      </c>
      <c r="C37" s="1386"/>
      <c r="D37" s="1383"/>
      <c r="E37" s="1391">
        <v>15</v>
      </c>
      <c r="F37" s="1391" t="s">
        <v>81</v>
      </c>
      <c r="G37" s="1392">
        <v>60.75</v>
      </c>
      <c r="H37" s="1392">
        <f t="shared" ref="H37:H44" si="5">G37*E37</f>
        <v>911.25</v>
      </c>
      <c r="I37" s="1391" t="s">
        <v>104</v>
      </c>
      <c r="J37" s="1391" t="s">
        <v>104</v>
      </c>
      <c r="K37" s="1392">
        <f t="shared" ref="K37:K44" si="6">H37</f>
        <v>911.25</v>
      </c>
      <c r="L37" s="1388"/>
    </row>
    <row r="38" spans="1:12" s="1373" customFormat="1" ht="18" customHeight="1">
      <c r="A38" s="1389"/>
      <c r="B38" s="1382" t="s">
        <v>343</v>
      </c>
      <c r="C38" s="1393"/>
      <c r="D38" s="1393"/>
      <c r="E38" s="1394">
        <v>0.28999999999999998</v>
      </c>
      <c r="F38" s="1394" t="s">
        <v>191</v>
      </c>
      <c r="G38" s="1391" t="s">
        <v>104</v>
      </c>
      <c r="H38" s="1391" t="s">
        <v>104</v>
      </c>
      <c r="I38" s="1391">
        <v>3300</v>
      </c>
      <c r="J38" s="1391">
        <f>I38*E38</f>
        <v>957</v>
      </c>
      <c r="K38" s="1392">
        <f>J38</f>
        <v>957</v>
      </c>
      <c r="L38" s="1388"/>
    </row>
    <row r="39" spans="1:12" s="1373" customFormat="1" ht="18" customHeight="1">
      <c r="A39" s="1389">
        <v>6</v>
      </c>
      <c r="B39" s="1382" t="s">
        <v>344</v>
      </c>
      <c r="C39" s="1390"/>
      <c r="D39" s="1383"/>
      <c r="E39" s="1395"/>
      <c r="F39" s="1391"/>
      <c r="G39" s="1392"/>
      <c r="H39" s="1392"/>
      <c r="I39" s="1391"/>
      <c r="J39" s="1391"/>
      <c r="K39" s="1392"/>
      <c r="L39" s="1388"/>
    </row>
    <row r="40" spans="1:12" s="1373" customFormat="1" ht="18" customHeight="1">
      <c r="A40" s="1389"/>
      <c r="B40" s="1382" t="s">
        <v>345</v>
      </c>
      <c r="C40" s="1386"/>
      <c r="D40" s="1383"/>
      <c r="E40" s="1395">
        <v>4</v>
      </c>
      <c r="F40" s="1391" t="s">
        <v>346</v>
      </c>
      <c r="G40" s="1392">
        <v>350.23</v>
      </c>
      <c r="H40" s="1392">
        <f>G40*E28:E40</f>
        <v>1400.92</v>
      </c>
      <c r="I40" s="1391" t="s">
        <v>104</v>
      </c>
      <c r="J40" s="1391" t="s">
        <v>104</v>
      </c>
      <c r="K40" s="1392">
        <f t="shared" si="6"/>
        <v>1400.92</v>
      </c>
      <c r="L40" s="1388"/>
    </row>
    <row r="41" spans="1:12" s="1373" customFormat="1" ht="18" customHeight="1">
      <c r="A41" s="1389"/>
      <c r="B41" s="1382" t="s">
        <v>347</v>
      </c>
      <c r="C41" s="1386"/>
      <c r="D41" s="1383"/>
      <c r="E41" s="1391">
        <v>32</v>
      </c>
      <c r="F41" s="1391" t="s">
        <v>346</v>
      </c>
      <c r="G41" s="1392">
        <v>462.62</v>
      </c>
      <c r="H41" s="1392">
        <f t="shared" si="5"/>
        <v>14803.84</v>
      </c>
      <c r="I41" s="1391" t="s">
        <v>104</v>
      </c>
      <c r="J41" s="1391" t="s">
        <v>104</v>
      </c>
      <c r="K41" s="1392">
        <f t="shared" si="6"/>
        <v>14803.84</v>
      </c>
      <c r="L41" s="1388"/>
    </row>
    <row r="42" spans="1:12" s="1373" customFormat="1" ht="18" customHeight="1">
      <c r="A42" s="1396"/>
      <c r="B42" s="1382" t="s">
        <v>348</v>
      </c>
      <c r="C42" s="1393"/>
      <c r="D42" s="1393"/>
      <c r="E42" s="1394">
        <v>43</v>
      </c>
      <c r="F42" s="1394" t="s">
        <v>346</v>
      </c>
      <c r="G42" s="1392">
        <v>703.74</v>
      </c>
      <c r="H42" s="1392">
        <f t="shared" si="5"/>
        <v>30260.82</v>
      </c>
      <c r="I42" s="1391" t="s">
        <v>104</v>
      </c>
      <c r="J42" s="1391" t="s">
        <v>104</v>
      </c>
      <c r="K42" s="1392">
        <f t="shared" si="6"/>
        <v>30260.82</v>
      </c>
      <c r="L42" s="1388"/>
    </row>
    <row r="43" spans="1:12" s="1373" customFormat="1" ht="18" customHeight="1">
      <c r="A43" s="1396"/>
      <c r="B43" s="1382" t="s">
        <v>349</v>
      </c>
      <c r="C43" s="1393"/>
      <c r="D43" s="1393"/>
      <c r="E43" s="1394">
        <v>10</v>
      </c>
      <c r="F43" s="1394" t="s">
        <v>346</v>
      </c>
      <c r="G43" s="1392">
        <v>904.21</v>
      </c>
      <c r="H43" s="1392">
        <f t="shared" si="5"/>
        <v>9042.1</v>
      </c>
      <c r="I43" s="1391" t="s">
        <v>104</v>
      </c>
      <c r="J43" s="1391" t="s">
        <v>104</v>
      </c>
      <c r="K43" s="1392">
        <f t="shared" si="6"/>
        <v>9042.1</v>
      </c>
      <c r="L43" s="1388"/>
    </row>
    <row r="44" spans="1:12" s="1373" customFormat="1" ht="18" customHeight="1">
      <c r="A44" s="1396"/>
      <c r="B44" s="1382" t="s">
        <v>350</v>
      </c>
      <c r="C44" s="1393"/>
      <c r="D44" s="1393"/>
      <c r="E44" s="1394">
        <v>6</v>
      </c>
      <c r="F44" s="1394" t="s">
        <v>346</v>
      </c>
      <c r="G44" s="1392">
        <v>1177.3399999999999</v>
      </c>
      <c r="H44" s="1392">
        <f t="shared" si="5"/>
        <v>7064.04</v>
      </c>
      <c r="I44" s="1391" t="s">
        <v>104</v>
      </c>
      <c r="J44" s="1391" t="s">
        <v>104</v>
      </c>
      <c r="K44" s="1392">
        <f t="shared" si="6"/>
        <v>7064.04</v>
      </c>
      <c r="L44" s="1388"/>
    </row>
    <row r="45" spans="1:12" s="1373" customFormat="1" ht="18" customHeight="1">
      <c r="A45" s="1396"/>
      <c r="B45" s="1382"/>
      <c r="C45" s="1393"/>
      <c r="D45" s="1397" t="s">
        <v>330</v>
      </c>
      <c r="E45" s="1389"/>
      <c r="F45" s="1398"/>
      <c r="G45" s="1392"/>
      <c r="H45" s="1392"/>
      <c r="I45" s="1392"/>
      <c r="J45" s="1392"/>
      <c r="K45" s="1405">
        <f>SUM(K36:K44)</f>
        <v>98418.730200000005</v>
      </c>
      <c r="L45" s="1388"/>
    </row>
    <row r="46" spans="1:12" s="1373" customFormat="1" ht="18" customHeight="1">
      <c r="A46" s="1396"/>
      <c r="B46" s="1399" t="s">
        <v>351</v>
      </c>
      <c r="C46" s="1399"/>
      <c r="D46" s="1399"/>
      <c r="E46" s="1397"/>
      <c r="F46" s="1400"/>
      <c r="G46" s="1401"/>
      <c r="H46" s="1401"/>
      <c r="I46" s="1401"/>
      <c r="J46" s="1406"/>
      <c r="K46" s="1406"/>
      <c r="L46" s="1383"/>
    </row>
    <row r="47" spans="1:12" s="1373" customFormat="1" ht="20.100000000000001" customHeight="1"/>
    <row r="48" spans="1:12" s="1373" customFormat="1" ht="20.100000000000001" customHeight="1">
      <c r="A48" s="1402" t="s">
        <v>332</v>
      </c>
      <c r="B48" s="1402"/>
      <c r="C48" s="1402"/>
      <c r="D48" s="1402"/>
      <c r="E48" s="1402"/>
      <c r="F48" s="1402"/>
      <c r="G48" s="1402"/>
      <c r="H48" s="1402"/>
      <c r="I48" s="1402"/>
      <c r="J48" s="1402"/>
      <c r="K48" s="1407"/>
      <c r="L48" s="1402"/>
    </row>
    <row r="49" spans="1:12" s="1373" customFormat="1" ht="20.100000000000001" customHeight="1">
      <c r="A49" s="1402" t="s">
        <v>333</v>
      </c>
      <c r="B49" s="1402"/>
      <c r="C49" s="1402"/>
      <c r="D49" s="1402"/>
      <c r="E49" s="1402"/>
      <c r="F49" s="1402"/>
      <c r="G49" s="1402"/>
      <c r="H49" s="1402"/>
      <c r="I49" s="1402"/>
      <c r="J49" s="1402"/>
      <c r="K49" s="1407"/>
      <c r="L49" s="1402"/>
    </row>
    <row r="50" spans="1:12" s="1373" customFormat="1" ht="20.100000000000001" customHeight="1">
      <c r="A50" s="1402" t="s">
        <v>334</v>
      </c>
      <c r="B50" s="1402"/>
      <c r="C50" s="1402"/>
      <c r="D50" s="1402"/>
      <c r="E50" s="1402"/>
      <c r="F50" s="1402"/>
      <c r="G50" s="1402"/>
      <c r="H50" s="1402"/>
      <c r="I50" s="1402"/>
      <c r="J50" s="1402"/>
      <c r="K50" s="1407"/>
      <c r="L50" s="1402"/>
    </row>
    <row r="51" spans="1:12" s="1373" customFormat="1" ht="20.100000000000001" customHeight="1">
      <c r="A51" s="1402" t="s">
        <v>335</v>
      </c>
      <c r="B51" s="1402"/>
      <c r="C51" s="1402"/>
      <c r="D51" s="1402"/>
      <c r="E51" s="1402"/>
      <c r="F51" s="1402"/>
      <c r="G51" s="1402"/>
      <c r="H51" s="1402" t="s">
        <v>336</v>
      </c>
      <c r="I51" s="1402"/>
      <c r="J51" s="1402"/>
      <c r="K51" s="1402"/>
      <c r="L51" s="1402"/>
    </row>
    <row r="52" spans="1:12" s="1373" customFormat="1" ht="20.100000000000001" customHeight="1">
      <c r="A52" s="1402" t="s">
        <v>337</v>
      </c>
      <c r="B52" s="1402"/>
      <c r="C52" s="1402"/>
      <c r="D52" s="1402"/>
      <c r="E52" s="1402"/>
      <c r="F52" s="1402"/>
      <c r="G52" s="1402"/>
      <c r="H52" s="1402" t="s">
        <v>338</v>
      </c>
      <c r="I52" s="1402"/>
      <c r="J52" s="1402"/>
      <c r="K52" s="1402"/>
      <c r="L52" s="1402"/>
    </row>
    <row r="53" spans="1:12" s="1373" customFormat="1" ht="20.100000000000001" customHeight="1">
      <c r="A53" s="1402" t="s">
        <v>339</v>
      </c>
      <c r="B53" s="1402"/>
      <c r="C53" s="1402"/>
      <c r="D53" s="1402"/>
      <c r="E53" s="1402"/>
      <c r="F53" s="1402"/>
      <c r="G53" s="1402"/>
      <c r="H53" s="1402" t="s">
        <v>340</v>
      </c>
      <c r="I53" s="1402"/>
      <c r="J53" s="1402"/>
      <c r="K53" s="1402"/>
      <c r="L53" s="1402"/>
    </row>
    <row r="54" spans="1:12" ht="20.100000000000001" customHeight="1"/>
    <row r="55" spans="1:12" s="1373" customFormat="1" ht="18" customHeight="1">
      <c r="A55" s="1954" t="s">
        <v>305</v>
      </c>
      <c r="B55" s="1954"/>
      <c r="C55" s="1954"/>
      <c r="D55" s="1954"/>
      <c r="E55" s="1954"/>
      <c r="F55" s="1954"/>
      <c r="G55" s="1954"/>
      <c r="H55" s="1954"/>
      <c r="I55" s="1954"/>
      <c r="J55" s="1954"/>
      <c r="K55" s="1954"/>
      <c r="L55" s="1954"/>
    </row>
    <row r="56" spans="1:12" s="1373" customFormat="1" ht="18" customHeight="1">
      <c r="A56" s="1375" t="s">
        <v>306</v>
      </c>
      <c r="B56" s="1376"/>
      <c r="C56" s="1376"/>
      <c r="D56" s="1376"/>
      <c r="E56" s="1376"/>
      <c r="F56" s="1376"/>
      <c r="G56" s="1376"/>
      <c r="H56" s="1376"/>
      <c r="I56" s="1376"/>
      <c r="J56" s="1376"/>
      <c r="K56" s="1376"/>
      <c r="L56" s="1376"/>
    </row>
    <row r="57" spans="1:12" s="1373" customFormat="1" ht="18" customHeight="1">
      <c r="A57" s="1376" t="s">
        <v>307</v>
      </c>
      <c r="B57" s="1376"/>
      <c r="C57" s="1376"/>
      <c r="D57" s="1376"/>
      <c r="E57" s="1375"/>
      <c r="F57" s="1376"/>
      <c r="G57" s="1376"/>
      <c r="H57" s="1376"/>
      <c r="I57" s="1376"/>
      <c r="J57" s="1376"/>
      <c r="K57" s="1376"/>
      <c r="L57" s="1376"/>
    </row>
    <row r="58" spans="1:12" s="1373" customFormat="1" ht="18" customHeight="1">
      <c r="A58" s="1375" t="s">
        <v>308</v>
      </c>
      <c r="B58" s="1376"/>
      <c r="C58" s="1376"/>
      <c r="D58" s="1376"/>
      <c r="E58" s="1376"/>
      <c r="F58" s="1376"/>
      <c r="G58" s="1376"/>
      <c r="H58" s="1376"/>
      <c r="I58" s="1376"/>
      <c r="J58" s="1376"/>
      <c r="K58" s="1376"/>
      <c r="L58" s="1376"/>
    </row>
    <row r="59" spans="1:12" s="1373" customFormat="1" ht="18" customHeight="1">
      <c r="A59" s="1376"/>
      <c r="B59" s="1376"/>
      <c r="C59" s="1376"/>
      <c r="D59" s="1376"/>
      <c r="E59" s="1376"/>
      <c r="F59" s="1376"/>
      <c r="G59" s="1376"/>
      <c r="H59" s="1376"/>
      <c r="I59" s="1376"/>
      <c r="J59" s="1376"/>
      <c r="K59" s="1376"/>
      <c r="L59" s="1376"/>
    </row>
    <row r="60" spans="1:12" s="1373" customFormat="1" ht="18" customHeight="1">
      <c r="A60" s="1376" t="s">
        <v>352</v>
      </c>
      <c r="B60" s="1376"/>
      <c r="C60" s="1376"/>
      <c r="D60" s="1376"/>
      <c r="E60" s="1376"/>
      <c r="F60" s="1376"/>
      <c r="G60" s="1376"/>
      <c r="H60" s="1376"/>
      <c r="I60" s="1376"/>
      <c r="J60" s="1376"/>
      <c r="K60" s="1376"/>
      <c r="L60" s="1376"/>
    </row>
    <row r="61" spans="1:12" s="1373" customFormat="1" ht="18" customHeight="1">
      <c r="A61" s="1377" t="s">
        <v>310</v>
      </c>
      <c r="B61" s="1378" t="s">
        <v>311</v>
      </c>
      <c r="C61" s="1379"/>
      <c r="D61" s="1380"/>
      <c r="E61" s="1381" t="s">
        <v>312</v>
      </c>
      <c r="F61" s="1378" t="s">
        <v>313</v>
      </c>
      <c r="G61" s="1382" t="s">
        <v>314</v>
      </c>
      <c r="H61" s="1383"/>
      <c r="I61" s="1382" t="s">
        <v>315</v>
      </c>
      <c r="J61" s="1383"/>
      <c r="K61" s="1381" t="s">
        <v>316</v>
      </c>
      <c r="L61" s="1381" t="s">
        <v>100</v>
      </c>
    </row>
    <row r="62" spans="1:12" s="1373" customFormat="1" ht="18" customHeight="1">
      <c r="A62" s="1384"/>
      <c r="B62" s="1385"/>
      <c r="C62" s="1386"/>
      <c r="D62" s="1387"/>
      <c r="E62" s="1384"/>
      <c r="F62" s="1385"/>
      <c r="G62" s="1385" t="s">
        <v>317</v>
      </c>
      <c r="H62" s="1388" t="s">
        <v>318</v>
      </c>
      <c r="I62" s="1385" t="s">
        <v>180</v>
      </c>
      <c r="J62" s="1404" t="s">
        <v>319</v>
      </c>
      <c r="K62" s="1384" t="s">
        <v>320</v>
      </c>
      <c r="L62" s="1384"/>
    </row>
    <row r="63" spans="1:12" s="1373" customFormat="1" ht="18" customHeight="1">
      <c r="A63" s="1389"/>
      <c r="B63" s="1382"/>
      <c r="C63" s="1390"/>
      <c r="D63" s="1403" t="s">
        <v>342</v>
      </c>
      <c r="E63" s="1391"/>
      <c r="F63" s="1391"/>
      <c r="G63" s="1392"/>
      <c r="H63" s="1392"/>
      <c r="I63" s="1392"/>
      <c r="J63" s="1392"/>
      <c r="K63" s="1405">
        <f>K45</f>
        <v>98418.730200000005</v>
      </c>
      <c r="L63" s="1388"/>
    </row>
    <row r="64" spans="1:12" s="1373" customFormat="1" ht="18" customHeight="1">
      <c r="A64" s="1389">
        <v>7</v>
      </c>
      <c r="B64" s="1382" t="s">
        <v>353</v>
      </c>
      <c r="C64" s="1386"/>
      <c r="D64" s="1383"/>
      <c r="E64" s="1391">
        <v>5</v>
      </c>
      <c r="F64" s="1391" t="s">
        <v>346</v>
      </c>
      <c r="G64" s="1392">
        <v>634.41999999999996</v>
      </c>
      <c r="H64" s="1392">
        <f t="shared" ref="H64:H66" si="7">G64*E64</f>
        <v>3172.1</v>
      </c>
      <c r="I64" s="1391" t="s">
        <v>104</v>
      </c>
      <c r="J64" s="1391" t="s">
        <v>104</v>
      </c>
      <c r="K64" s="1392">
        <f t="shared" ref="K64:K68" si="8">H64</f>
        <v>3172.1</v>
      </c>
      <c r="L64" s="1388"/>
    </row>
    <row r="65" spans="1:12" s="1373" customFormat="1" ht="18" customHeight="1">
      <c r="A65" s="1389">
        <v>8</v>
      </c>
      <c r="B65" s="1382" t="s">
        <v>354</v>
      </c>
      <c r="C65" s="1393"/>
      <c r="D65" s="1393"/>
      <c r="E65" s="1394">
        <v>0.25</v>
      </c>
      <c r="F65" s="1394" t="s">
        <v>83</v>
      </c>
      <c r="G65" s="1392">
        <v>7850.56</v>
      </c>
      <c r="H65" s="1392">
        <f t="shared" si="7"/>
        <v>1962.64</v>
      </c>
      <c r="I65" s="1391" t="s">
        <v>104</v>
      </c>
      <c r="J65" s="1391" t="s">
        <v>104</v>
      </c>
      <c r="K65" s="1392">
        <f t="shared" si="8"/>
        <v>1962.64</v>
      </c>
      <c r="L65" s="1388"/>
    </row>
    <row r="66" spans="1:12" s="1373" customFormat="1" ht="18" customHeight="1">
      <c r="A66" s="1389"/>
      <c r="B66" s="1382" t="s">
        <v>355</v>
      </c>
      <c r="C66" s="1390"/>
      <c r="D66" s="1383"/>
      <c r="E66" s="1394">
        <v>0.2</v>
      </c>
      <c r="F66" s="1391" t="s">
        <v>83</v>
      </c>
      <c r="G66" s="1392">
        <v>5490.66</v>
      </c>
      <c r="H66" s="1392">
        <f t="shared" si="7"/>
        <v>1098.1320000000001</v>
      </c>
      <c r="I66" s="1391" t="s">
        <v>104</v>
      </c>
      <c r="J66" s="1391" t="s">
        <v>104</v>
      </c>
      <c r="K66" s="1392">
        <f t="shared" si="8"/>
        <v>1098.1320000000001</v>
      </c>
      <c r="L66" s="1388"/>
    </row>
    <row r="67" spans="1:12" s="1373" customFormat="1" ht="18" customHeight="1">
      <c r="A67" s="1389">
        <v>9</v>
      </c>
      <c r="B67" s="1382" t="s">
        <v>356</v>
      </c>
      <c r="C67" s="1386"/>
      <c r="D67" s="1383"/>
      <c r="E67" s="1395">
        <v>20.57</v>
      </c>
      <c r="F67" s="1391" t="s">
        <v>73</v>
      </c>
      <c r="G67" s="1392">
        <v>525</v>
      </c>
      <c r="H67" s="1392">
        <f>G67*E55:E67</f>
        <v>10799.25</v>
      </c>
      <c r="I67" s="1391" t="s">
        <v>104</v>
      </c>
      <c r="J67" s="1391" t="s">
        <v>104</v>
      </c>
      <c r="K67" s="1392">
        <f t="shared" si="8"/>
        <v>10799.25</v>
      </c>
      <c r="L67" s="1388"/>
    </row>
    <row r="68" spans="1:12" s="1373" customFormat="1" ht="18" customHeight="1">
      <c r="A68" s="1396">
        <v>10</v>
      </c>
      <c r="B68" s="1382" t="s">
        <v>357</v>
      </c>
      <c r="C68" s="1393"/>
      <c r="D68" s="1393"/>
      <c r="E68" s="1394">
        <v>60</v>
      </c>
      <c r="F68" s="1394" t="s">
        <v>195</v>
      </c>
      <c r="G68" s="1392">
        <v>2</v>
      </c>
      <c r="H68" s="1392">
        <f>G68*E68</f>
        <v>120</v>
      </c>
      <c r="I68" s="1391" t="s">
        <v>104</v>
      </c>
      <c r="J68" s="1391" t="s">
        <v>104</v>
      </c>
      <c r="K68" s="1392">
        <f t="shared" si="8"/>
        <v>120</v>
      </c>
      <c r="L68" s="1388"/>
    </row>
    <row r="69" spans="1:12" s="1373" customFormat="1" ht="18" customHeight="1">
      <c r="A69" s="1396">
        <v>11</v>
      </c>
      <c r="B69" s="1382" t="s">
        <v>358</v>
      </c>
      <c r="C69" s="1393"/>
      <c r="D69" s="1393"/>
      <c r="E69" s="1394"/>
      <c r="F69" s="1394"/>
      <c r="G69" s="1392"/>
      <c r="H69" s="1392"/>
      <c r="I69" s="1392"/>
      <c r="J69" s="1392"/>
      <c r="K69" s="1392"/>
      <c r="L69" s="1388"/>
    </row>
    <row r="70" spans="1:12" s="1373" customFormat="1" ht="18" customHeight="1">
      <c r="A70" s="1396"/>
      <c r="B70" s="1382" t="s">
        <v>359</v>
      </c>
      <c r="C70" s="1393"/>
      <c r="D70" s="1393"/>
      <c r="E70" s="1394">
        <v>1</v>
      </c>
      <c r="F70" s="1394" t="s">
        <v>195</v>
      </c>
      <c r="G70" s="1392">
        <v>200</v>
      </c>
      <c r="H70" s="1392">
        <f>G70</f>
        <v>200</v>
      </c>
      <c r="I70" s="1391" t="s">
        <v>104</v>
      </c>
      <c r="J70" s="1391" t="s">
        <v>104</v>
      </c>
      <c r="K70" s="1392">
        <f>H70</f>
        <v>200</v>
      </c>
      <c r="L70" s="1388"/>
    </row>
    <row r="71" spans="1:12" s="1373" customFormat="1" ht="18" customHeight="1">
      <c r="A71" s="1396"/>
      <c r="B71" s="1382"/>
      <c r="C71" s="1393"/>
      <c r="D71" s="1397" t="s">
        <v>330</v>
      </c>
      <c r="E71" s="1389"/>
      <c r="F71" s="1398"/>
      <c r="G71" s="1392"/>
      <c r="H71" s="1392"/>
      <c r="I71" s="1392"/>
      <c r="J71" s="1392"/>
      <c r="K71" s="1405">
        <f>SUM(K63:K70)</f>
        <v>115770.85219999999</v>
      </c>
      <c r="L71" s="1388"/>
    </row>
    <row r="72" spans="1:12" s="1373" customFormat="1" ht="18" customHeight="1">
      <c r="A72" s="1396"/>
      <c r="B72" s="1399" t="s">
        <v>360</v>
      </c>
      <c r="C72" s="1399"/>
      <c r="D72" s="1399"/>
      <c r="E72" s="1397"/>
      <c r="F72" s="1400"/>
      <c r="G72" s="1401"/>
      <c r="H72" s="1401"/>
      <c r="I72" s="1401"/>
      <c r="J72" s="1406"/>
      <c r="K72" s="1406"/>
      <c r="L72" s="1383"/>
    </row>
    <row r="73" spans="1:12" s="1373" customFormat="1" ht="20.100000000000001" customHeight="1"/>
    <row r="74" spans="1:12" s="1373" customFormat="1" ht="20.100000000000001" customHeight="1">
      <c r="A74" s="1402" t="s">
        <v>332</v>
      </c>
      <c r="B74" s="1402"/>
      <c r="C74" s="1402"/>
      <c r="D74" s="1402"/>
      <c r="E74" s="1402"/>
      <c r="F74" s="1402"/>
      <c r="G74" s="1402"/>
      <c r="H74" s="1402"/>
      <c r="I74" s="1402"/>
      <c r="J74" s="1402"/>
      <c r="K74" s="1407"/>
      <c r="L74" s="1402"/>
    </row>
    <row r="75" spans="1:12" s="1373" customFormat="1" ht="20.100000000000001" customHeight="1">
      <c r="A75" s="1402" t="s">
        <v>333</v>
      </c>
      <c r="B75" s="1402"/>
      <c r="C75" s="1402"/>
      <c r="D75" s="1402"/>
      <c r="E75" s="1402"/>
      <c r="F75" s="1402"/>
      <c r="G75" s="1402"/>
      <c r="H75" s="1402"/>
      <c r="I75" s="1402"/>
      <c r="J75" s="1402"/>
      <c r="K75" s="1407"/>
      <c r="L75" s="1402"/>
    </row>
    <row r="76" spans="1:12" s="1373" customFormat="1" ht="20.100000000000001" customHeight="1">
      <c r="A76" s="1402" t="s">
        <v>334</v>
      </c>
      <c r="B76" s="1402"/>
      <c r="C76" s="1402"/>
      <c r="D76" s="1402"/>
      <c r="E76" s="1402"/>
      <c r="F76" s="1402"/>
      <c r="G76" s="1402"/>
      <c r="H76" s="1402"/>
      <c r="I76" s="1402"/>
      <c r="J76" s="1402"/>
      <c r="K76" s="1407"/>
      <c r="L76" s="1402"/>
    </row>
    <row r="77" spans="1:12" s="1373" customFormat="1" ht="20.100000000000001" customHeight="1">
      <c r="A77" s="1402" t="s">
        <v>335</v>
      </c>
      <c r="B77" s="1402"/>
      <c r="C77" s="1402"/>
      <c r="D77" s="1402"/>
      <c r="E77" s="1402"/>
      <c r="F77" s="1402"/>
      <c r="G77" s="1402"/>
      <c r="H77" s="1402" t="s">
        <v>336</v>
      </c>
      <c r="I77" s="1402"/>
      <c r="J77" s="1402"/>
      <c r="K77" s="1402"/>
      <c r="L77" s="1402"/>
    </row>
    <row r="78" spans="1:12" s="1373" customFormat="1" ht="20.100000000000001" customHeight="1">
      <c r="A78" s="1402" t="s">
        <v>337</v>
      </c>
      <c r="B78" s="1402"/>
      <c r="C78" s="1402"/>
      <c r="D78" s="1402"/>
      <c r="E78" s="1402"/>
      <c r="F78" s="1402"/>
      <c r="G78" s="1402"/>
      <c r="H78" s="1402" t="s">
        <v>338</v>
      </c>
      <c r="I78" s="1402"/>
      <c r="J78" s="1402"/>
      <c r="K78" s="1402"/>
      <c r="L78" s="1402"/>
    </row>
    <row r="79" spans="1:12" s="1373" customFormat="1" ht="20.100000000000001" customHeight="1">
      <c r="A79" s="1402" t="s">
        <v>339</v>
      </c>
      <c r="B79" s="1402"/>
      <c r="C79" s="1402"/>
      <c r="D79" s="1402"/>
      <c r="E79" s="1402"/>
      <c r="F79" s="1402"/>
      <c r="G79" s="1402"/>
      <c r="H79" s="1402" t="s">
        <v>340</v>
      </c>
      <c r="I79" s="1402"/>
      <c r="J79" s="1402"/>
      <c r="K79" s="1402"/>
      <c r="L79" s="1402"/>
    </row>
    <row r="80" spans="1:12" s="1373" customFormat="1" ht="20.100000000000001" customHeight="1">
      <c r="A80" s="1402"/>
      <c r="B80" s="1402"/>
      <c r="C80" s="1402"/>
      <c r="D80" s="1402"/>
      <c r="E80" s="1402"/>
      <c r="F80" s="1402"/>
      <c r="G80" s="1402"/>
      <c r="H80" s="1402"/>
      <c r="I80" s="1402"/>
      <c r="J80" s="1402"/>
      <c r="K80" s="1402"/>
      <c r="L80" s="1402"/>
    </row>
    <row r="81" spans="1:12" ht="20.100000000000001" customHeight="1"/>
    <row r="82" spans="1:12" s="1373" customFormat="1" ht="18" customHeight="1">
      <c r="A82" s="1954" t="s">
        <v>305</v>
      </c>
      <c r="B82" s="1954"/>
      <c r="C82" s="1954"/>
      <c r="D82" s="1954"/>
      <c r="E82" s="1954"/>
      <c r="F82" s="1954"/>
      <c r="G82" s="1954"/>
      <c r="H82" s="1954"/>
      <c r="I82" s="1954"/>
      <c r="J82" s="1954"/>
      <c r="K82" s="1954"/>
      <c r="L82" s="1954"/>
    </row>
    <row r="83" spans="1:12" s="1373" customFormat="1" ht="18" customHeight="1">
      <c r="A83" s="1375" t="s">
        <v>306</v>
      </c>
      <c r="B83" s="1376"/>
      <c r="C83" s="1376"/>
      <c r="D83" s="1376"/>
      <c r="E83" s="1376"/>
      <c r="F83" s="1376"/>
      <c r="G83" s="1376"/>
      <c r="H83" s="1376"/>
      <c r="I83" s="1376"/>
      <c r="J83" s="1376"/>
      <c r="K83" s="1376"/>
      <c r="L83" s="1376"/>
    </row>
    <row r="84" spans="1:12" s="1373" customFormat="1" ht="18" customHeight="1">
      <c r="A84" s="1376" t="s">
        <v>307</v>
      </c>
      <c r="B84" s="1376"/>
      <c r="C84" s="1376"/>
      <c r="D84" s="1376"/>
      <c r="E84" s="1375"/>
      <c r="F84" s="1376"/>
      <c r="G84" s="1376"/>
      <c r="H84" s="1376"/>
      <c r="I84" s="1376"/>
      <c r="J84" s="1376"/>
      <c r="K84" s="1376"/>
      <c r="L84" s="1376"/>
    </row>
    <row r="85" spans="1:12" s="1373" customFormat="1" ht="18" customHeight="1">
      <c r="A85" s="1375" t="s">
        <v>308</v>
      </c>
      <c r="B85" s="1376"/>
      <c r="C85" s="1376"/>
      <c r="D85" s="1376"/>
      <c r="E85" s="1376"/>
      <c r="F85" s="1376"/>
      <c r="G85" s="1376"/>
      <c r="H85" s="1376"/>
      <c r="I85" s="1376"/>
      <c r="J85" s="1376"/>
      <c r="K85" s="1376"/>
      <c r="L85" s="1376"/>
    </row>
    <row r="86" spans="1:12" s="1373" customFormat="1" ht="18" customHeight="1">
      <c r="A86" s="1376"/>
      <c r="B86" s="1376"/>
      <c r="C86" s="1376"/>
      <c r="D86" s="1376"/>
      <c r="E86" s="1376"/>
      <c r="F86" s="1376"/>
      <c r="G86" s="1376"/>
      <c r="H86" s="1376"/>
      <c r="I86" s="1376"/>
      <c r="J86" s="1376"/>
      <c r="K86" s="1376"/>
      <c r="L86" s="1376"/>
    </row>
    <row r="87" spans="1:12" s="1373" customFormat="1" ht="18" customHeight="1">
      <c r="A87" s="1376" t="s">
        <v>361</v>
      </c>
      <c r="B87" s="1376"/>
      <c r="C87" s="1376"/>
      <c r="D87" s="1376"/>
      <c r="E87" s="1376"/>
      <c r="F87" s="1376"/>
      <c r="G87" s="1376"/>
      <c r="H87" s="1376"/>
      <c r="I87" s="1376"/>
      <c r="J87" s="1376"/>
      <c r="K87" s="1376"/>
      <c r="L87" s="1376"/>
    </row>
    <row r="88" spans="1:12" s="1373" customFormat="1" ht="18" customHeight="1">
      <c r="A88" s="1377" t="s">
        <v>310</v>
      </c>
      <c r="B88" s="1378" t="s">
        <v>311</v>
      </c>
      <c r="C88" s="1379"/>
      <c r="D88" s="1380"/>
      <c r="E88" s="1381" t="s">
        <v>312</v>
      </c>
      <c r="F88" s="1378" t="s">
        <v>313</v>
      </c>
      <c r="G88" s="1382" t="s">
        <v>314</v>
      </c>
      <c r="H88" s="1383"/>
      <c r="I88" s="1382" t="s">
        <v>315</v>
      </c>
      <c r="J88" s="1383"/>
      <c r="K88" s="1381" t="s">
        <v>316</v>
      </c>
      <c r="L88" s="1381" t="s">
        <v>100</v>
      </c>
    </row>
    <row r="89" spans="1:12" s="1373" customFormat="1" ht="18" customHeight="1">
      <c r="A89" s="1384"/>
      <c r="B89" s="1385"/>
      <c r="C89" s="1386"/>
      <c r="D89" s="1387"/>
      <c r="E89" s="1384"/>
      <c r="F89" s="1385"/>
      <c r="G89" s="1385" t="s">
        <v>317</v>
      </c>
      <c r="H89" s="1388" t="s">
        <v>318</v>
      </c>
      <c r="I89" s="1385" t="s">
        <v>180</v>
      </c>
      <c r="J89" s="1404" t="s">
        <v>319</v>
      </c>
      <c r="K89" s="1384" t="s">
        <v>320</v>
      </c>
      <c r="L89" s="1384"/>
    </row>
    <row r="90" spans="1:12" s="1373" customFormat="1" ht="18" customHeight="1">
      <c r="A90" s="1389"/>
      <c r="B90" s="1382"/>
      <c r="C90" s="1390"/>
      <c r="D90" s="1403" t="s">
        <v>342</v>
      </c>
      <c r="E90" s="1391"/>
      <c r="F90" s="1391"/>
      <c r="G90" s="1392"/>
      <c r="H90" s="1392"/>
      <c r="I90" s="1392"/>
      <c r="J90" s="1392"/>
      <c r="K90" s="1405">
        <f>K71</f>
        <v>115770.85219999999</v>
      </c>
      <c r="L90" s="1388"/>
    </row>
    <row r="91" spans="1:12" s="1373" customFormat="1" ht="18" customHeight="1">
      <c r="A91" s="1389"/>
      <c r="B91" s="1382" t="s">
        <v>362</v>
      </c>
      <c r="C91" s="1386"/>
      <c r="D91" s="1383"/>
      <c r="E91" s="1391">
        <v>6</v>
      </c>
      <c r="F91" s="1391" t="s">
        <v>65</v>
      </c>
      <c r="G91" s="1392">
        <v>142.53</v>
      </c>
      <c r="H91" s="1392">
        <f t="shared" ref="H91:H93" si="9">G91*E91</f>
        <v>855.18</v>
      </c>
      <c r="I91" s="1391" t="s">
        <v>104</v>
      </c>
      <c r="J91" s="1391" t="s">
        <v>104</v>
      </c>
      <c r="K91" s="1392">
        <f t="shared" ref="K91:K98" si="10">H91</f>
        <v>855.18</v>
      </c>
      <c r="L91" s="1388"/>
    </row>
    <row r="92" spans="1:12" s="1373" customFormat="1" ht="18" customHeight="1">
      <c r="A92" s="1389"/>
      <c r="B92" s="1382" t="s">
        <v>363</v>
      </c>
      <c r="C92" s="1393"/>
      <c r="D92" s="1393"/>
      <c r="E92" s="1394">
        <v>4</v>
      </c>
      <c r="F92" s="1394" t="s">
        <v>65</v>
      </c>
      <c r="G92" s="1392">
        <v>106.54</v>
      </c>
      <c r="H92" s="1392">
        <f t="shared" si="9"/>
        <v>426.16</v>
      </c>
      <c r="I92" s="1391" t="s">
        <v>104</v>
      </c>
      <c r="J92" s="1391" t="s">
        <v>104</v>
      </c>
      <c r="K92" s="1392">
        <f t="shared" si="10"/>
        <v>426.16</v>
      </c>
      <c r="L92" s="1388"/>
    </row>
    <row r="93" spans="1:12" s="1373" customFormat="1" ht="18" customHeight="1">
      <c r="A93" s="1389"/>
      <c r="B93" s="1382" t="s">
        <v>364</v>
      </c>
      <c r="C93" s="1390"/>
      <c r="D93" s="1383"/>
      <c r="E93" s="1394">
        <v>8</v>
      </c>
      <c r="F93" s="1391" t="s">
        <v>195</v>
      </c>
      <c r="G93" s="1392">
        <v>30.38</v>
      </c>
      <c r="H93" s="1392">
        <f t="shared" si="9"/>
        <v>243.04</v>
      </c>
      <c r="I93" s="1391" t="s">
        <v>104</v>
      </c>
      <c r="J93" s="1391" t="s">
        <v>104</v>
      </c>
      <c r="K93" s="1392">
        <f t="shared" si="10"/>
        <v>243.04</v>
      </c>
      <c r="L93" s="1388"/>
    </row>
    <row r="94" spans="1:12" s="1373" customFormat="1" ht="18" customHeight="1">
      <c r="A94" s="1389"/>
      <c r="B94" s="1382" t="s">
        <v>365</v>
      </c>
      <c r="C94" s="1386"/>
      <c r="D94" s="1383"/>
      <c r="E94" s="1395">
        <v>1</v>
      </c>
      <c r="F94" s="1391" t="s">
        <v>195</v>
      </c>
      <c r="G94" s="1392">
        <v>30.38</v>
      </c>
      <c r="H94" s="1392">
        <f>G94*E82:E94</f>
        <v>30.38</v>
      </c>
      <c r="I94" s="1391" t="s">
        <v>104</v>
      </c>
      <c r="J94" s="1391" t="s">
        <v>104</v>
      </c>
      <c r="K94" s="1392">
        <f t="shared" si="10"/>
        <v>30.38</v>
      </c>
      <c r="L94" s="1388"/>
    </row>
    <row r="95" spans="1:12" s="1373" customFormat="1" ht="18" customHeight="1">
      <c r="A95" s="1389"/>
      <c r="B95" s="1382" t="s">
        <v>366</v>
      </c>
      <c r="C95" s="1386"/>
      <c r="D95" s="1383"/>
      <c r="E95" s="1391">
        <v>4</v>
      </c>
      <c r="F95" s="1391" t="s">
        <v>195</v>
      </c>
      <c r="G95" s="1392">
        <v>23.37</v>
      </c>
      <c r="H95" s="1392">
        <f t="shared" ref="H95:H98" si="11">G95*E95</f>
        <v>93.48</v>
      </c>
      <c r="I95" s="1391" t="s">
        <v>104</v>
      </c>
      <c r="J95" s="1391" t="s">
        <v>104</v>
      </c>
      <c r="K95" s="1392">
        <f t="shared" si="10"/>
        <v>93.48</v>
      </c>
      <c r="L95" s="1388"/>
    </row>
    <row r="96" spans="1:12" s="1373" customFormat="1" ht="18" customHeight="1">
      <c r="A96" s="1396"/>
      <c r="B96" s="1382" t="s">
        <v>367</v>
      </c>
      <c r="C96" s="1393"/>
      <c r="D96" s="1393"/>
      <c r="E96" s="1394">
        <v>4</v>
      </c>
      <c r="F96" s="1394" t="s">
        <v>210</v>
      </c>
      <c r="G96" s="1392">
        <v>18</v>
      </c>
      <c r="H96" s="1392">
        <f t="shared" si="11"/>
        <v>72</v>
      </c>
      <c r="I96" s="1391" t="s">
        <v>104</v>
      </c>
      <c r="J96" s="1391" t="s">
        <v>104</v>
      </c>
      <c r="K96" s="1392">
        <f t="shared" si="10"/>
        <v>72</v>
      </c>
      <c r="L96" s="1388"/>
    </row>
    <row r="97" spans="1:12" s="1373" customFormat="1" ht="18" customHeight="1">
      <c r="A97" s="1396"/>
      <c r="B97" s="1382" t="s">
        <v>368</v>
      </c>
      <c r="C97" s="1393"/>
      <c r="D97" s="1393"/>
      <c r="E97" s="1394">
        <v>1</v>
      </c>
      <c r="F97" s="1394" t="s">
        <v>226</v>
      </c>
      <c r="G97" s="1392">
        <v>130.84</v>
      </c>
      <c r="H97" s="1392">
        <f t="shared" si="11"/>
        <v>130.84</v>
      </c>
      <c r="I97" s="1391" t="s">
        <v>104</v>
      </c>
      <c r="J97" s="1391" t="s">
        <v>104</v>
      </c>
      <c r="K97" s="1392">
        <f t="shared" si="10"/>
        <v>130.84</v>
      </c>
      <c r="L97" s="1388"/>
    </row>
    <row r="98" spans="1:12" s="1373" customFormat="1" ht="18" customHeight="1">
      <c r="A98" s="1396"/>
      <c r="B98" s="1382" t="s">
        <v>369</v>
      </c>
      <c r="C98" s="1393"/>
      <c r="D98" s="1393"/>
      <c r="E98" s="1394">
        <v>6</v>
      </c>
      <c r="F98" s="1394" t="s">
        <v>195</v>
      </c>
      <c r="G98" s="1392">
        <v>12</v>
      </c>
      <c r="H98" s="1392">
        <f t="shared" si="11"/>
        <v>72</v>
      </c>
      <c r="I98" s="1391" t="s">
        <v>104</v>
      </c>
      <c r="J98" s="1391" t="s">
        <v>104</v>
      </c>
      <c r="K98" s="1392">
        <f t="shared" si="10"/>
        <v>72</v>
      </c>
      <c r="L98" s="1388"/>
    </row>
    <row r="99" spans="1:12" s="1373" customFormat="1" ht="18" customHeight="1">
      <c r="A99" s="1396"/>
      <c r="B99" s="1382"/>
      <c r="C99" s="1393"/>
      <c r="D99" s="1397" t="s">
        <v>330</v>
      </c>
      <c r="E99" s="1389"/>
      <c r="F99" s="1398"/>
      <c r="G99" s="1392"/>
      <c r="H99" s="1392"/>
      <c r="I99" s="1392"/>
      <c r="J99" s="1392"/>
      <c r="K99" s="1405">
        <f>SUM(K90:K98)</f>
        <v>117693.9322</v>
      </c>
      <c r="L99" s="1388"/>
    </row>
    <row r="100" spans="1:12" s="1373" customFormat="1" ht="18" customHeight="1">
      <c r="A100" s="1396"/>
      <c r="B100" s="1399" t="s">
        <v>370</v>
      </c>
      <c r="C100" s="1399"/>
      <c r="D100" s="1399"/>
      <c r="E100" s="1397"/>
      <c r="F100" s="1400"/>
      <c r="G100" s="1401"/>
      <c r="H100" s="1401"/>
      <c r="I100" s="1401"/>
      <c r="J100" s="1406"/>
      <c r="K100" s="1406"/>
      <c r="L100" s="1383"/>
    </row>
    <row r="101" spans="1:12" s="1373" customFormat="1" ht="20.100000000000001" customHeight="1"/>
    <row r="102" spans="1:12" s="1373" customFormat="1" ht="20.100000000000001" customHeight="1">
      <c r="A102" s="1402" t="s">
        <v>332</v>
      </c>
      <c r="B102" s="1402"/>
      <c r="C102" s="1402"/>
      <c r="D102" s="1402"/>
      <c r="E102" s="1402"/>
      <c r="F102" s="1402"/>
      <c r="G102" s="1402"/>
      <c r="H102" s="1402"/>
      <c r="I102" s="1402"/>
      <c r="J102" s="1402"/>
      <c r="K102" s="1407"/>
      <c r="L102" s="1402"/>
    </row>
    <row r="103" spans="1:12" s="1373" customFormat="1" ht="20.100000000000001" customHeight="1">
      <c r="A103" s="1402" t="s">
        <v>333</v>
      </c>
      <c r="B103" s="1402"/>
      <c r="C103" s="1402"/>
      <c r="D103" s="1402"/>
      <c r="E103" s="1402"/>
      <c r="F103" s="1402"/>
      <c r="G103" s="1402"/>
      <c r="H103" s="1402"/>
      <c r="I103" s="1402"/>
      <c r="J103" s="1402"/>
      <c r="K103" s="1407"/>
      <c r="L103" s="1402"/>
    </row>
    <row r="104" spans="1:12" s="1373" customFormat="1" ht="20.100000000000001" customHeight="1">
      <c r="A104" s="1402" t="s">
        <v>334</v>
      </c>
      <c r="B104" s="1402"/>
      <c r="C104" s="1402"/>
      <c r="D104" s="1402"/>
      <c r="E104" s="1402"/>
      <c r="F104" s="1402"/>
      <c r="G104" s="1402"/>
      <c r="H104" s="1402"/>
      <c r="I104" s="1402"/>
      <c r="J104" s="1402"/>
      <c r="K104" s="1407"/>
      <c r="L104" s="1402"/>
    </row>
    <row r="105" spans="1:12" s="1373" customFormat="1" ht="20.100000000000001" customHeight="1">
      <c r="A105" s="1402" t="s">
        <v>335</v>
      </c>
      <c r="B105" s="1402"/>
      <c r="C105" s="1402"/>
      <c r="D105" s="1402"/>
      <c r="E105" s="1402"/>
      <c r="F105" s="1402"/>
      <c r="G105" s="1402"/>
      <c r="H105" s="1402" t="s">
        <v>336</v>
      </c>
      <c r="I105" s="1402"/>
      <c r="J105" s="1402"/>
      <c r="K105" s="1402"/>
      <c r="L105" s="1402"/>
    </row>
    <row r="106" spans="1:12" s="1373" customFormat="1" ht="20.100000000000001" customHeight="1">
      <c r="A106" s="1402" t="s">
        <v>337</v>
      </c>
      <c r="B106" s="1402"/>
      <c r="C106" s="1402"/>
      <c r="D106" s="1402"/>
      <c r="E106" s="1402"/>
      <c r="F106" s="1402"/>
      <c r="G106" s="1402"/>
      <c r="H106" s="1402" t="s">
        <v>338</v>
      </c>
      <c r="I106" s="1402"/>
      <c r="J106" s="1402"/>
      <c r="K106" s="1402"/>
      <c r="L106" s="1402"/>
    </row>
    <row r="107" spans="1:12" s="1373" customFormat="1" ht="20.100000000000001" customHeight="1">
      <c r="A107" s="1402" t="s">
        <v>339</v>
      </c>
      <c r="B107" s="1402"/>
      <c r="C107" s="1402"/>
      <c r="D107" s="1402"/>
      <c r="E107" s="1402"/>
      <c r="F107" s="1402"/>
      <c r="G107" s="1402"/>
      <c r="H107" s="1402" t="s">
        <v>340</v>
      </c>
      <c r="I107" s="1402"/>
      <c r="J107" s="1402"/>
      <c r="K107" s="1402"/>
      <c r="L107" s="1402"/>
    </row>
    <row r="108" spans="1:12" ht="20.100000000000001" customHeight="1"/>
    <row r="109" spans="1:12" s="1373" customFormat="1" ht="18" customHeight="1">
      <c r="A109" s="1954" t="s">
        <v>305</v>
      </c>
      <c r="B109" s="1954"/>
      <c r="C109" s="1954"/>
      <c r="D109" s="1954"/>
      <c r="E109" s="1954"/>
      <c r="F109" s="1954"/>
      <c r="G109" s="1954"/>
      <c r="H109" s="1954"/>
      <c r="I109" s="1954"/>
      <c r="J109" s="1954"/>
      <c r="K109" s="1954"/>
      <c r="L109" s="1954"/>
    </row>
    <row r="110" spans="1:12" s="1373" customFormat="1" ht="18" customHeight="1">
      <c r="A110" s="1375" t="s">
        <v>306</v>
      </c>
      <c r="B110" s="1376"/>
      <c r="C110" s="1376"/>
      <c r="D110" s="1376"/>
      <c r="E110" s="1376"/>
      <c r="F110" s="1376"/>
      <c r="G110" s="1376"/>
      <c r="H110" s="1376"/>
      <c r="I110" s="1376"/>
      <c r="J110" s="1376"/>
      <c r="K110" s="1376"/>
      <c r="L110" s="1376"/>
    </row>
    <row r="111" spans="1:12" s="1373" customFormat="1" ht="18" customHeight="1">
      <c r="A111" s="1376" t="s">
        <v>307</v>
      </c>
      <c r="B111" s="1376"/>
      <c r="C111" s="1376"/>
      <c r="D111" s="1376"/>
      <c r="E111" s="1375"/>
      <c r="F111" s="1376"/>
      <c r="G111" s="1376"/>
      <c r="H111" s="1376"/>
      <c r="I111" s="1376"/>
      <c r="J111" s="1376"/>
      <c r="K111" s="1376"/>
      <c r="L111" s="1376"/>
    </row>
    <row r="112" spans="1:12" s="1373" customFormat="1" ht="18" customHeight="1">
      <c r="A112" s="1375" t="s">
        <v>308</v>
      </c>
      <c r="B112" s="1376"/>
      <c r="C112" s="1376"/>
      <c r="D112" s="1376"/>
      <c r="E112" s="1376"/>
      <c r="F112" s="1376"/>
      <c r="G112" s="1376"/>
      <c r="H112" s="1376"/>
      <c r="I112" s="1376"/>
      <c r="J112" s="1376"/>
      <c r="K112" s="1376"/>
      <c r="L112" s="1376"/>
    </row>
    <row r="113" spans="1:12" s="1373" customFormat="1" ht="18" customHeight="1">
      <c r="A113" s="1376"/>
      <c r="B113" s="1376"/>
      <c r="C113" s="1376"/>
      <c r="D113" s="1376"/>
      <c r="E113" s="1376"/>
      <c r="F113" s="1376"/>
      <c r="G113" s="1376"/>
      <c r="H113" s="1376"/>
      <c r="I113" s="1376"/>
      <c r="J113" s="1376"/>
      <c r="K113" s="1376"/>
      <c r="L113" s="1376"/>
    </row>
    <row r="114" spans="1:12" s="1373" customFormat="1" ht="18" customHeight="1">
      <c r="A114" s="1376" t="s">
        <v>371</v>
      </c>
      <c r="B114" s="1376"/>
      <c r="C114" s="1376"/>
      <c r="D114" s="1376"/>
      <c r="E114" s="1376"/>
      <c r="F114" s="1376"/>
      <c r="G114" s="1376"/>
      <c r="H114" s="1376"/>
      <c r="I114" s="1376"/>
      <c r="J114" s="1376"/>
      <c r="K114" s="1376"/>
      <c r="L114" s="1376"/>
    </row>
    <row r="115" spans="1:12" s="1373" customFormat="1" ht="18" customHeight="1">
      <c r="A115" s="1377" t="s">
        <v>310</v>
      </c>
      <c r="B115" s="1378" t="s">
        <v>311</v>
      </c>
      <c r="C115" s="1379"/>
      <c r="D115" s="1380"/>
      <c r="E115" s="1381" t="s">
        <v>312</v>
      </c>
      <c r="F115" s="1378" t="s">
        <v>313</v>
      </c>
      <c r="G115" s="1382" t="s">
        <v>314</v>
      </c>
      <c r="H115" s="1383"/>
      <c r="I115" s="1382" t="s">
        <v>315</v>
      </c>
      <c r="J115" s="1383"/>
      <c r="K115" s="1381" t="s">
        <v>316</v>
      </c>
      <c r="L115" s="1381" t="s">
        <v>100</v>
      </c>
    </row>
    <row r="116" spans="1:12" s="1373" customFormat="1" ht="18" customHeight="1">
      <c r="A116" s="1384"/>
      <c r="B116" s="1385"/>
      <c r="C116" s="1386"/>
      <c r="D116" s="1387"/>
      <c r="E116" s="1384"/>
      <c r="F116" s="1385"/>
      <c r="G116" s="1385" t="s">
        <v>317</v>
      </c>
      <c r="H116" s="1388" t="s">
        <v>318</v>
      </c>
      <c r="I116" s="1385" t="s">
        <v>180</v>
      </c>
      <c r="J116" s="1404" t="s">
        <v>319</v>
      </c>
      <c r="K116" s="1384" t="s">
        <v>320</v>
      </c>
      <c r="L116" s="1384"/>
    </row>
    <row r="117" spans="1:12" s="1373" customFormat="1" ht="18" customHeight="1">
      <c r="A117" s="1389"/>
      <c r="B117" s="1382"/>
      <c r="C117" s="1390"/>
      <c r="D117" s="1403" t="s">
        <v>342</v>
      </c>
      <c r="E117" s="1391"/>
      <c r="F117" s="1391"/>
      <c r="G117" s="1392"/>
      <c r="H117" s="1392"/>
      <c r="I117" s="1392"/>
      <c r="J117" s="1392"/>
      <c r="K117" s="1405">
        <f>K99</f>
        <v>117693.9322</v>
      </c>
      <c r="L117" s="1388"/>
    </row>
    <row r="118" spans="1:12" s="1373" customFormat="1" ht="18" customHeight="1">
      <c r="A118" s="1389">
        <v>12</v>
      </c>
      <c r="B118" s="1382" t="s">
        <v>372</v>
      </c>
      <c r="C118" s="1386"/>
      <c r="D118" s="1383"/>
      <c r="E118" s="1391">
        <v>1</v>
      </c>
      <c r="F118" s="1391" t="s">
        <v>373</v>
      </c>
      <c r="G118" s="1392">
        <v>35000</v>
      </c>
      <c r="H118" s="1392">
        <f t="shared" ref="H118:H120" si="12">G118*E118</f>
        <v>35000</v>
      </c>
      <c r="I118" s="1391" t="s">
        <v>104</v>
      </c>
      <c r="J118" s="1391" t="s">
        <v>104</v>
      </c>
      <c r="K118" s="1392">
        <f t="shared" ref="K118:K121" si="13">H118</f>
        <v>35000</v>
      </c>
      <c r="L118" s="1388"/>
    </row>
    <row r="119" spans="1:12" s="1373" customFormat="1" ht="18" customHeight="1">
      <c r="A119" s="1389">
        <v>13</v>
      </c>
      <c r="B119" s="1382" t="s">
        <v>374</v>
      </c>
      <c r="C119" s="1393"/>
      <c r="D119" s="1393"/>
      <c r="E119" s="1394">
        <v>4</v>
      </c>
      <c r="F119" s="1394" t="s">
        <v>375</v>
      </c>
      <c r="G119" s="1392">
        <v>7260</v>
      </c>
      <c r="H119" s="1392">
        <f t="shared" si="12"/>
        <v>29040</v>
      </c>
      <c r="I119" s="1391" t="s">
        <v>104</v>
      </c>
      <c r="J119" s="1391" t="s">
        <v>104</v>
      </c>
      <c r="K119" s="1392">
        <f t="shared" si="13"/>
        <v>29040</v>
      </c>
      <c r="L119" s="1388"/>
    </row>
    <row r="120" spans="1:12" s="1373" customFormat="1" ht="18" customHeight="1">
      <c r="A120" s="1389">
        <v>14</v>
      </c>
      <c r="B120" s="1382" t="s">
        <v>376</v>
      </c>
      <c r="C120" s="1390"/>
      <c r="D120" s="1383"/>
      <c r="E120" s="1394">
        <v>28</v>
      </c>
      <c r="F120" s="1391" t="s">
        <v>377</v>
      </c>
      <c r="G120" s="1392">
        <v>30</v>
      </c>
      <c r="H120" s="1392">
        <f t="shared" si="12"/>
        <v>840</v>
      </c>
      <c r="I120" s="1391">
        <v>50</v>
      </c>
      <c r="J120" s="1391">
        <f>I120*E120</f>
        <v>1400</v>
      </c>
      <c r="K120" s="1392">
        <f>J120+H120</f>
        <v>2240</v>
      </c>
      <c r="L120" s="1388"/>
    </row>
    <row r="121" spans="1:12" s="1373" customFormat="1" ht="18" customHeight="1">
      <c r="A121" s="1389">
        <v>15</v>
      </c>
      <c r="B121" s="1382" t="s">
        <v>378</v>
      </c>
      <c r="C121" s="1386"/>
      <c r="D121" s="1383"/>
      <c r="E121" s="1395">
        <v>1.5</v>
      </c>
      <c r="F121" s="1391" t="s">
        <v>379</v>
      </c>
      <c r="G121" s="1392">
        <v>1560</v>
      </c>
      <c r="H121" s="1392">
        <f>G121*E109:E121</f>
        <v>2340</v>
      </c>
      <c r="I121" s="1391" t="s">
        <v>104</v>
      </c>
      <c r="J121" s="1391" t="s">
        <v>104</v>
      </c>
      <c r="K121" s="1392">
        <f t="shared" si="13"/>
        <v>2340</v>
      </c>
      <c r="L121" s="1388"/>
    </row>
    <row r="122" spans="1:12" s="1373" customFormat="1" ht="18" customHeight="1">
      <c r="A122" s="1389"/>
      <c r="B122" s="1382"/>
      <c r="C122" s="1386"/>
      <c r="D122" s="1383"/>
      <c r="E122" s="1391"/>
      <c r="F122" s="1391"/>
      <c r="G122" s="1392"/>
      <c r="H122" s="1392"/>
      <c r="I122" s="1392"/>
      <c r="J122" s="1392"/>
      <c r="K122" s="1392"/>
      <c r="L122" s="1388"/>
    </row>
    <row r="123" spans="1:12" s="1373" customFormat="1" ht="18" customHeight="1">
      <c r="A123" s="1396"/>
      <c r="B123" s="1382"/>
      <c r="C123" s="1393"/>
      <c r="D123" s="1393"/>
      <c r="E123" s="1394"/>
      <c r="F123" s="1394"/>
      <c r="G123" s="1392"/>
      <c r="H123" s="1392"/>
      <c r="I123" s="1392"/>
      <c r="J123" s="1392"/>
      <c r="K123" s="1392"/>
      <c r="L123" s="1388"/>
    </row>
    <row r="124" spans="1:12" s="1373" customFormat="1" ht="18" customHeight="1">
      <c r="A124" s="1396"/>
      <c r="B124" s="1382"/>
      <c r="C124" s="1393"/>
      <c r="D124" s="1393"/>
      <c r="E124" s="1394"/>
      <c r="F124" s="1394"/>
      <c r="G124" s="1392"/>
      <c r="H124" s="1392"/>
      <c r="I124" s="1392"/>
      <c r="J124" s="1392"/>
      <c r="K124" s="1392"/>
      <c r="L124" s="1388"/>
    </row>
    <row r="125" spans="1:12" s="1373" customFormat="1" ht="18" customHeight="1">
      <c r="A125" s="1396"/>
      <c r="B125" s="1382"/>
      <c r="C125" s="1393"/>
      <c r="D125" s="1393"/>
      <c r="E125" s="1394"/>
      <c r="F125" s="1394"/>
      <c r="G125" s="1392"/>
      <c r="H125" s="1392"/>
      <c r="I125" s="1392"/>
      <c r="J125" s="1392"/>
      <c r="K125" s="1392"/>
      <c r="L125" s="1388"/>
    </row>
    <row r="126" spans="1:12" s="1373" customFormat="1" ht="18" customHeight="1">
      <c r="A126" s="1396"/>
      <c r="B126" s="1408" t="s">
        <v>380</v>
      </c>
      <c r="C126" s="1393"/>
      <c r="D126" s="1409"/>
      <c r="E126" s="1389"/>
      <c r="F126" s="1398"/>
      <c r="G126" s="1392"/>
      <c r="H126" s="1392"/>
      <c r="I126" s="1392"/>
      <c r="J126" s="1392"/>
      <c r="K126" s="1392">
        <f>SUM(K117:K125)</f>
        <v>186313.93220000001</v>
      </c>
      <c r="L126" s="1388"/>
    </row>
    <row r="127" spans="1:12" s="1373" customFormat="1" ht="18" customHeight="1">
      <c r="A127" s="1396"/>
      <c r="B127" s="1399" t="s">
        <v>381</v>
      </c>
      <c r="C127" s="1399"/>
      <c r="D127" s="1399"/>
      <c r="E127" s="1397"/>
      <c r="F127" s="1400"/>
      <c r="G127" s="1401"/>
      <c r="H127" s="1401"/>
      <c r="I127" s="1401"/>
      <c r="J127" s="1406"/>
      <c r="K127" s="1406"/>
      <c r="L127" s="1383"/>
    </row>
    <row r="128" spans="1:12" s="1373" customFormat="1" ht="20.100000000000001" customHeight="1"/>
    <row r="129" spans="1:12" s="1373" customFormat="1" ht="20.100000000000001" customHeight="1">
      <c r="A129" s="1402" t="s">
        <v>332</v>
      </c>
      <c r="B129" s="1402"/>
      <c r="C129" s="1402"/>
      <c r="D129" s="1402"/>
      <c r="E129" s="1402"/>
      <c r="F129" s="1402"/>
      <c r="G129" s="1402"/>
      <c r="H129" s="1402"/>
      <c r="I129" s="1402"/>
      <c r="J129" s="1402"/>
      <c r="K129" s="1407"/>
      <c r="L129" s="1402"/>
    </row>
    <row r="130" spans="1:12" s="1373" customFormat="1" ht="20.100000000000001" customHeight="1">
      <c r="A130" s="1402" t="s">
        <v>333</v>
      </c>
      <c r="B130" s="1402"/>
      <c r="C130" s="1402"/>
      <c r="D130" s="1402"/>
      <c r="E130" s="1402"/>
      <c r="F130" s="1402"/>
      <c r="G130" s="1402"/>
      <c r="H130" s="1402"/>
      <c r="I130" s="1402"/>
      <c r="J130" s="1402"/>
      <c r="K130" s="1407" t="s">
        <v>382</v>
      </c>
      <c r="L130" s="1402"/>
    </row>
    <row r="131" spans="1:12" s="1373" customFormat="1" ht="20.100000000000001" customHeight="1">
      <c r="A131" s="1402" t="s">
        <v>334</v>
      </c>
      <c r="B131" s="1402"/>
      <c r="C131" s="1402"/>
      <c r="D131" s="1402"/>
      <c r="E131" s="1402"/>
      <c r="F131" s="1402"/>
      <c r="G131" s="1402"/>
      <c r="H131" s="1402"/>
      <c r="I131" s="1402"/>
      <c r="J131" s="1402"/>
      <c r="K131" s="1407"/>
      <c r="L131" s="1402"/>
    </row>
    <row r="132" spans="1:12" s="1373" customFormat="1" ht="20.100000000000001" customHeight="1">
      <c r="A132" s="1402" t="s">
        <v>335</v>
      </c>
      <c r="B132" s="1402"/>
      <c r="C132" s="1402"/>
      <c r="D132" s="1402"/>
      <c r="E132" s="1402"/>
      <c r="F132" s="1402"/>
      <c r="G132" s="1402"/>
      <c r="H132" s="1402" t="s">
        <v>336</v>
      </c>
      <c r="I132" s="1402"/>
      <c r="J132" s="1402"/>
      <c r="K132" s="1402"/>
      <c r="L132" s="1402"/>
    </row>
    <row r="133" spans="1:12" s="1373" customFormat="1" ht="20.100000000000001" customHeight="1">
      <c r="A133" s="1402" t="s">
        <v>337</v>
      </c>
      <c r="B133" s="1402"/>
      <c r="C133" s="1402"/>
      <c r="D133" s="1402"/>
      <c r="E133" s="1402"/>
      <c r="F133" s="1402"/>
      <c r="G133" s="1402"/>
      <c r="H133" s="1402" t="s">
        <v>338</v>
      </c>
      <c r="I133" s="1402"/>
      <c r="J133" s="1402"/>
      <c r="K133" s="1402"/>
      <c r="L133" s="1402"/>
    </row>
    <row r="134" spans="1:12" s="1373" customFormat="1" ht="20.100000000000001" customHeight="1">
      <c r="A134" s="1402" t="s">
        <v>339</v>
      </c>
      <c r="B134" s="1402"/>
      <c r="C134" s="1402"/>
      <c r="D134" s="1402"/>
      <c r="E134" s="1402"/>
      <c r="F134" s="1402"/>
      <c r="G134" s="1402"/>
      <c r="H134" s="1402" t="s">
        <v>340</v>
      </c>
      <c r="I134" s="1402"/>
      <c r="J134" s="1402"/>
      <c r="K134" s="1402"/>
      <c r="L134" s="1402"/>
    </row>
    <row r="135" spans="1:12" ht="20.100000000000001" customHeight="1"/>
  </sheetData>
  <mergeCells count="5">
    <mergeCell ref="A1:L1"/>
    <mergeCell ref="A28:L28"/>
    <mergeCell ref="A55:L55"/>
    <mergeCell ref="A82:L82"/>
    <mergeCell ref="A109:L109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66"/>
  <sheetViews>
    <sheetView view="pageBreakPreview" zoomScale="90" zoomScaleNormal="75" workbookViewId="0">
      <selection activeCell="I15" sqref="I15"/>
    </sheetView>
  </sheetViews>
  <sheetFormatPr defaultColWidth="8" defaultRowHeight="21"/>
  <cols>
    <col min="1" max="1" width="8.44140625" style="800" customWidth="1"/>
    <col min="2" max="2" width="22.44140625" style="800" customWidth="1"/>
    <col min="3" max="3" width="19.88671875" style="800" customWidth="1"/>
    <col min="4" max="4" width="6.77734375" style="800" customWidth="1"/>
    <col min="5" max="5" width="9.33203125" style="800" customWidth="1"/>
    <col min="6" max="10" width="10.21875" style="800" customWidth="1"/>
    <col min="11" max="11" width="9.21875" style="800" customWidth="1"/>
    <col min="12" max="16384" width="8" style="800"/>
  </cols>
  <sheetData>
    <row r="1" spans="1:11" ht="24.75" customHeight="1">
      <c r="A1" s="1295" t="s">
        <v>383</v>
      </c>
      <c r="B1" s="1296"/>
      <c r="C1" s="1297" t="s">
        <v>384</v>
      </c>
      <c r="D1" s="1298"/>
      <c r="E1" s="1296"/>
      <c r="F1" s="1299"/>
      <c r="G1" s="1300"/>
      <c r="H1" s="1300"/>
      <c r="I1" s="1299"/>
      <c r="J1" s="1349"/>
      <c r="K1" s="1350"/>
    </row>
    <row r="2" spans="1:11" ht="24.75" customHeight="1">
      <c r="A2" s="1295" t="str">
        <f>[68]ปร.6!B8</f>
        <v>สถานที่ก่อสร้าง….บ้านกรูด หมู่ที่ 1 ตำบลกรูด อำเภอกาญจนดิษฐ์ จังหวัดสุราษฎร์ธานี</v>
      </c>
      <c r="B2" s="1350"/>
      <c r="C2" s="1301"/>
      <c r="D2" s="1302"/>
      <c r="E2" s="1296"/>
      <c r="F2" s="1303" t="s">
        <v>385</v>
      </c>
      <c r="G2" s="1305" t="s">
        <v>386</v>
      </c>
      <c r="H2" s="1305"/>
      <c r="I2" s="1303" t="s">
        <v>387</v>
      </c>
      <c r="J2" s="1351">
        <v>2</v>
      </c>
      <c r="K2" s="1352"/>
    </row>
    <row r="3" spans="1:11" ht="24.75" customHeight="1">
      <c r="A3" s="1295" t="s">
        <v>388</v>
      </c>
      <c r="B3" s="1296"/>
      <c r="C3" s="1297" t="str">
        <f>'[68]แบบ ปร.6'!$A$4</f>
        <v>สำนักบริหารจัดการน้ำ  กรมทรัพยากรน้ำ</v>
      </c>
      <c r="D3" s="1302"/>
      <c r="E3" s="1296"/>
      <c r="F3" s="1303"/>
      <c r="G3" s="1305"/>
      <c r="H3" s="1305"/>
      <c r="I3" s="1303"/>
      <c r="J3" s="1351"/>
      <c r="K3" s="1352"/>
    </row>
    <row r="4" spans="1:11" ht="24.75" customHeight="1">
      <c r="A4" s="1295" t="s">
        <v>389</v>
      </c>
      <c r="B4" s="1296"/>
      <c r="C4" s="1301" t="s">
        <v>390</v>
      </c>
      <c r="D4" s="1302"/>
      <c r="E4" s="1296"/>
      <c r="F4" s="1303" t="str">
        <f>[68]ปร.6!I12</f>
        <v>เมื่อวันที่  25  เดือน กรกฎาคม  พ.ศ.  2551</v>
      </c>
      <c r="G4" s="1306"/>
      <c r="H4" s="1304"/>
      <c r="I4" s="1299"/>
      <c r="J4" s="1349"/>
      <c r="K4" s="1350"/>
    </row>
    <row r="5" spans="1:11" ht="21.75" customHeight="1">
      <c r="A5" s="1307"/>
      <c r="B5" s="1308"/>
      <c r="C5" s="1308"/>
      <c r="D5" s="1309"/>
      <c r="E5" s="1308"/>
      <c r="F5" s="1310"/>
      <c r="G5" s="1311"/>
      <c r="H5" s="1311"/>
      <c r="I5" s="1310"/>
      <c r="J5" s="1353"/>
    </row>
    <row r="6" spans="1:11" ht="24" customHeight="1">
      <c r="A6" s="1312" t="s">
        <v>95</v>
      </c>
      <c r="B6" s="1313" t="s">
        <v>96</v>
      </c>
      <c r="C6" s="1314"/>
      <c r="D6" s="1315" t="s">
        <v>391</v>
      </c>
      <c r="E6" s="1316"/>
      <c r="F6" s="1317" t="s">
        <v>107</v>
      </c>
      <c r="G6" s="1318"/>
      <c r="H6" s="1317" t="s">
        <v>177</v>
      </c>
      <c r="I6" s="1354"/>
      <c r="J6" s="1355" t="s">
        <v>392</v>
      </c>
      <c r="K6" s="1312" t="s">
        <v>100</v>
      </c>
    </row>
    <row r="7" spans="1:11" ht="24" customHeight="1">
      <c r="A7" s="1319"/>
      <c r="B7" s="1320"/>
      <c r="C7" s="1321"/>
      <c r="D7" s="1322"/>
      <c r="E7" s="1323"/>
      <c r="F7" s="1324" t="s">
        <v>393</v>
      </c>
      <c r="G7" s="1325" t="s">
        <v>181</v>
      </c>
      <c r="H7" s="1324" t="s">
        <v>393</v>
      </c>
      <c r="I7" s="1356" t="s">
        <v>181</v>
      </c>
      <c r="J7" s="1319" t="s">
        <v>394</v>
      </c>
      <c r="K7" s="1357"/>
    </row>
    <row r="8" spans="1:11" ht="24" customHeight="1">
      <c r="A8" s="795">
        <v>1</v>
      </c>
      <c r="B8" s="1362" t="s">
        <v>395</v>
      </c>
      <c r="C8" s="1363"/>
      <c r="D8" s="1364">
        <v>1</v>
      </c>
      <c r="E8" s="772" t="s">
        <v>396</v>
      </c>
      <c r="F8" s="1365" t="s">
        <v>104</v>
      </c>
      <c r="G8" s="773" t="str">
        <f>IF(F8="-","-",D8*F8)</f>
        <v>-</v>
      </c>
      <c r="H8" s="1366">
        <v>18000</v>
      </c>
      <c r="I8" s="773">
        <f>IF(H8="-","-",H8*D8)</f>
        <v>18000</v>
      </c>
      <c r="J8" s="1370">
        <f>SUM(G8,I8)</f>
        <v>18000</v>
      </c>
      <c r="K8" s="1371"/>
    </row>
    <row r="9" spans="1:11" ht="24" customHeight="1">
      <c r="A9" s="795"/>
      <c r="B9" s="1367"/>
      <c r="C9" s="801"/>
      <c r="D9" s="1368"/>
      <c r="E9" s="772"/>
      <c r="F9" s="1365"/>
      <c r="G9" s="1369"/>
      <c r="H9" s="1366"/>
      <c r="I9" s="1369"/>
      <c r="J9" s="1372"/>
      <c r="K9" s="1372"/>
    </row>
    <row r="10" spans="1:11" ht="24" customHeight="1">
      <c r="A10" s="795"/>
      <c r="B10" s="1367"/>
      <c r="C10" s="801"/>
      <c r="D10" s="1368"/>
      <c r="E10" s="772"/>
      <c r="F10" s="1365"/>
      <c r="G10" s="1369"/>
      <c r="H10" s="1366"/>
      <c r="I10" s="1369"/>
      <c r="J10" s="1372"/>
      <c r="K10" s="1372"/>
    </row>
    <row r="11" spans="1:11" ht="24" customHeight="1">
      <c r="A11" s="795"/>
      <c r="B11" s="1367"/>
      <c r="C11" s="801"/>
      <c r="D11" s="1368"/>
      <c r="E11" s="772"/>
      <c r="F11" s="1365"/>
      <c r="G11" s="1369"/>
      <c r="H11" s="1366"/>
      <c r="I11" s="1369"/>
      <c r="J11" s="1372"/>
      <c r="K11" s="1372"/>
    </row>
    <row r="12" spans="1:11" ht="24" customHeight="1">
      <c r="A12" s="1328"/>
      <c r="B12" s="1329"/>
      <c r="C12" s="1330" t="s">
        <v>397</v>
      </c>
      <c r="D12" s="1331"/>
      <c r="E12" s="1332"/>
      <c r="F12" s="1333"/>
      <c r="G12" s="1334">
        <f t="shared" ref="G12:J12" si="0">SUM(G8:G11)</f>
        <v>0</v>
      </c>
      <c r="H12" s="1335"/>
      <c r="I12" s="1334">
        <f t="shared" si="0"/>
        <v>18000</v>
      </c>
      <c r="J12" s="1334">
        <f t="shared" si="0"/>
        <v>18000</v>
      </c>
      <c r="K12" s="1359"/>
    </row>
    <row r="13" spans="1:11" ht="24" customHeight="1">
      <c r="A13" s="1319"/>
      <c r="B13" s="1344"/>
      <c r="C13" s="1338" t="s">
        <v>398</v>
      </c>
      <c r="D13" s="1345"/>
      <c r="E13" s="1321"/>
      <c r="F13" s="1346"/>
      <c r="G13" s="1347"/>
      <c r="H13" s="1348"/>
      <c r="I13" s="1347"/>
      <c r="J13" s="1347">
        <f>ROUNDDOWN(J12,0)</f>
        <v>18000</v>
      </c>
      <c r="K13" s="1361"/>
    </row>
    <row r="14" spans="1:11" ht="21.75" customHeight="1"/>
    <row r="15" spans="1:11" ht="21.75" customHeight="1"/>
    <row r="16" spans="1:11" ht="21.75" customHeight="1">
      <c r="F16" s="798"/>
      <c r="H16" s="1309"/>
      <c r="I16" s="1309"/>
      <c r="J16" s="1309"/>
      <c r="K16" s="1309"/>
    </row>
    <row r="17" ht="21.75" customHeight="1"/>
    <row r="18" ht="21.75" customHeight="1"/>
    <row r="19" ht="21.75" customHeight="1"/>
    <row r="20" ht="21.75" customHeight="1"/>
    <row r="21" ht="21.75" customHeight="1"/>
    <row r="22" ht="21.75" customHeight="1"/>
    <row r="23" ht="21.75" customHeight="1"/>
    <row r="24" ht="21.75" customHeight="1"/>
    <row r="25" ht="21.75" customHeight="1"/>
    <row r="26" ht="21.75" customHeight="1"/>
    <row r="27" ht="21.75" customHeight="1"/>
    <row r="28" ht="21.75" customHeight="1"/>
    <row r="29" ht="21.75" customHeight="1"/>
    <row r="30" ht="21.75" customHeight="1"/>
    <row r="31" ht="21.75" customHeight="1"/>
    <row r="32" ht="21.75" customHeight="1"/>
    <row r="33" ht="21.75" customHeight="1"/>
    <row r="34" ht="21.75" customHeight="1"/>
    <row r="35" ht="21.75" customHeight="1"/>
    <row r="36" ht="21.75" customHeight="1"/>
    <row r="37" ht="21.75" customHeight="1"/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  <row r="108" ht="21.75" customHeight="1"/>
    <row r="109" ht="21.75" customHeight="1"/>
    <row r="110" ht="21.75" customHeight="1"/>
    <row r="111" ht="21.75" customHeight="1"/>
    <row r="112" ht="21.75" customHeight="1"/>
    <row r="113" ht="21.75" customHeight="1"/>
    <row r="114" ht="21.75" customHeight="1"/>
    <row r="115" ht="21.75" customHeight="1"/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</sheetData>
  <printOptions horizontalCentered="1"/>
  <pageMargins left="0.78740157480314998" right="0.59055118110236204" top="0.78740157480314998" bottom="0.59055118110236204" header="0.39370078740157499" footer="0"/>
  <pageSetup paperSize="9" scale="99" orientation="landscape" r:id="rId1"/>
  <headerFooter scaleWithDoc="0" alignWithMargins="0">
    <oddHeader>&amp;Rแบบ ปร.4 แผ่นที่ &amp;P/1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69"/>
  <sheetViews>
    <sheetView view="pageBreakPreview" zoomScale="90" zoomScaleNormal="100" workbookViewId="0">
      <selection activeCell="F12" sqref="F12"/>
    </sheetView>
  </sheetViews>
  <sheetFormatPr defaultColWidth="8" defaultRowHeight="21"/>
  <cols>
    <col min="1" max="1" width="8.44140625" style="800" customWidth="1"/>
    <col min="2" max="3" width="22.44140625" style="800" customWidth="1"/>
    <col min="4" max="5" width="6.77734375" style="800" customWidth="1"/>
    <col min="6" max="11" width="10.21875" style="800" customWidth="1"/>
    <col min="12" max="16384" width="8" style="800"/>
  </cols>
  <sheetData>
    <row r="1" spans="1:11" ht="24.75" customHeight="1">
      <c r="A1" s="1295" t="s">
        <v>383</v>
      </c>
      <c r="B1" s="1296"/>
      <c r="C1" s="1297" t="s">
        <v>399</v>
      </c>
      <c r="D1" s="1298"/>
      <c r="E1" s="1296"/>
      <c r="F1" s="1299"/>
      <c r="G1" s="1300"/>
      <c r="H1" s="1300"/>
      <c r="I1" s="1299"/>
      <c r="J1" s="1349"/>
      <c r="K1" s="1350"/>
    </row>
    <row r="2" spans="1:11" ht="24.75" customHeight="1">
      <c r="A2" s="1295" t="str">
        <f>[68]ปร.6!B8</f>
        <v>สถานที่ก่อสร้าง….บ้านกรูด หมู่ที่ 1 ตำบลกรูด อำเภอกาญจนดิษฐ์ จังหวัดสุราษฎร์ธานี</v>
      </c>
      <c r="B2" s="1296"/>
      <c r="C2" s="1301"/>
      <c r="D2" s="1301"/>
      <c r="E2" s="1302"/>
      <c r="F2" s="1296"/>
      <c r="G2" s="1303" t="s">
        <v>385</v>
      </c>
      <c r="H2" s="1304" t="s">
        <v>400</v>
      </c>
      <c r="I2" s="1305"/>
      <c r="J2" s="1303" t="s">
        <v>387</v>
      </c>
      <c r="K2" s="1351">
        <v>3</v>
      </c>
    </row>
    <row r="3" spans="1:11" ht="24.75" customHeight="1">
      <c r="A3" s="1295" t="s">
        <v>388</v>
      </c>
      <c r="B3" s="1296"/>
      <c r="C3" s="1297" t="str">
        <f>[68]ปร.6!E5</f>
        <v>ส่วนบริหารจัดการน้ำ</v>
      </c>
      <c r="D3" s="1302"/>
      <c r="E3" s="1296"/>
      <c r="F3" s="1303"/>
      <c r="G3" s="1305"/>
      <c r="H3" s="1305"/>
      <c r="I3" s="1303"/>
      <c r="J3" s="1351"/>
      <c r="K3" s="1352"/>
    </row>
    <row r="4" spans="1:11" ht="24.75" customHeight="1">
      <c r="A4" s="1295" t="s">
        <v>389</v>
      </c>
      <c r="B4" s="1296"/>
      <c r="C4" s="1301" t="str">
        <f>[68]ทดสอบดิน!C4</f>
        <v>นายประเสริฐ  บัวดำ</v>
      </c>
      <c r="D4" s="1302"/>
      <c r="E4" s="1296"/>
      <c r="F4" s="1303" t="str">
        <f>[68]ปร.6!I12</f>
        <v>เมื่อวันที่  25  เดือน กรกฎาคม  พ.ศ.  2551</v>
      </c>
      <c r="G4" s="1306"/>
      <c r="H4" s="1304"/>
      <c r="I4" s="1299"/>
      <c r="J4" s="1349"/>
      <c r="K4" s="1350"/>
    </row>
    <row r="5" spans="1:11" ht="21.75" customHeight="1">
      <c r="A5" s="1307"/>
      <c r="B5" s="1308"/>
      <c r="C5" s="1308"/>
      <c r="D5" s="1309"/>
      <c r="E5" s="1308"/>
      <c r="F5" s="1310"/>
      <c r="G5" s="1311"/>
      <c r="H5" s="1311"/>
      <c r="I5" s="1310"/>
      <c r="J5" s="1353"/>
    </row>
    <row r="6" spans="1:11" ht="24" customHeight="1">
      <c r="A6" s="1312" t="s">
        <v>95</v>
      </c>
      <c r="B6" s="1313" t="s">
        <v>96</v>
      </c>
      <c r="C6" s="1314"/>
      <c r="D6" s="1315" t="s">
        <v>391</v>
      </c>
      <c r="E6" s="1316"/>
      <c r="F6" s="1317" t="s">
        <v>107</v>
      </c>
      <c r="G6" s="1318"/>
      <c r="H6" s="1317" t="s">
        <v>177</v>
      </c>
      <c r="I6" s="1354"/>
      <c r="J6" s="1355" t="s">
        <v>392</v>
      </c>
      <c r="K6" s="1312" t="s">
        <v>100</v>
      </c>
    </row>
    <row r="7" spans="1:11" ht="24" customHeight="1">
      <c r="A7" s="1319"/>
      <c r="B7" s="1320"/>
      <c r="C7" s="1321"/>
      <c r="D7" s="1322"/>
      <c r="E7" s="1323"/>
      <c r="F7" s="1324" t="s">
        <v>393</v>
      </c>
      <c r="G7" s="1325" t="s">
        <v>181</v>
      </c>
      <c r="H7" s="1324" t="s">
        <v>393</v>
      </c>
      <c r="I7" s="1356" t="s">
        <v>181</v>
      </c>
      <c r="J7" s="1319" t="s">
        <v>394</v>
      </c>
      <c r="K7" s="1357"/>
    </row>
    <row r="8" spans="1:11" ht="24" customHeight="1">
      <c r="A8" s="795"/>
      <c r="B8" s="796" t="s">
        <v>401</v>
      </c>
      <c r="C8" s="801"/>
      <c r="D8" s="1326"/>
      <c r="E8" s="799"/>
      <c r="F8" s="773"/>
      <c r="G8" s="774"/>
      <c r="H8" s="1327"/>
      <c r="I8" s="774"/>
      <c r="J8" s="827"/>
      <c r="K8" s="801"/>
    </row>
    <row r="9" spans="1:11" ht="24" customHeight="1">
      <c r="A9" s="795">
        <v>1.1000000000000001</v>
      </c>
      <c r="B9" s="800" t="s">
        <v>402</v>
      </c>
      <c r="C9" s="801"/>
      <c r="D9" s="1326">
        <f>(10*10*0)</f>
        <v>0</v>
      </c>
      <c r="E9" s="799" t="s">
        <v>184</v>
      </c>
      <c r="F9" s="773">
        <v>200</v>
      </c>
      <c r="G9" s="774">
        <f>D9*F9</f>
        <v>0</v>
      </c>
      <c r="H9" s="1327">
        <v>44</v>
      </c>
      <c r="I9" s="774">
        <f>D9*H9</f>
        <v>0</v>
      </c>
      <c r="J9" s="827">
        <f>SUM(G9,I9)</f>
        <v>0</v>
      </c>
      <c r="K9" s="801"/>
    </row>
    <row r="10" spans="1:11" ht="24" customHeight="1">
      <c r="A10" s="795">
        <v>1.2</v>
      </c>
      <c r="B10" s="800" t="s">
        <v>403</v>
      </c>
      <c r="C10" s="801"/>
      <c r="D10" s="1326">
        <f>10*10</f>
        <v>100</v>
      </c>
      <c r="E10" s="799" t="s">
        <v>83</v>
      </c>
      <c r="F10" s="773"/>
      <c r="G10" s="774">
        <f>D10*F10</f>
        <v>0</v>
      </c>
      <c r="H10" s="1327">
        <v>15</v>
      </c>
      <c r="I10" s="774">
        <f>D10*H10</f>
        <v>1500</v>
      </c>
      <c r="J10" s="827">
        <f>SUM(G10,I10)</f>
        <v>1500</v>
      </c>
      <c r="K10" s="801"/>
    </row>
    <row r="11" spans="1:11" ht="24" customHeight="1">
      <c r="A11" s="795"/>
      <c r="C11" s="801"/>
      <c r="D11" s="1326"/>
      <c r="E11" s="799"/>
      <c r="F11" s="773"/>
      <c r="G11" s="774"/>
      <c r="H11" s="1327"/>
      <c r="I11" s="774"/>
      <c r="J11" s="801"/>
      <c r="K11" s="801"/>
    </row>
    <row r="12" spans="1:11" ht="24" customHeight="1">
      <c r="A12" s="1328"/>
      <c r="B12" s="1329"/>
      <c r="C12" s="1330" t="s">
        <v>397</v>
      </c>
      <c r="D12" s="1331"/>
      <c r="E12" s="1332"/>
      <c r="F12" s="1333"/>
      <c r="G12" s="1334">
        <f t="shared" ref="G12:J12" si="0">SUM(G8:G11)</f>
        <v>0</v>
      </c>
      <c r="H12" s="1335"/>
      <c r="I12" s="1334">
        <f t="shared" si="0"/>
        <v>1500</v>
      </c>
      <c r="J12" s="1358">
        <f t="shared" si="0"/>
        <v>1500</v>
      </c>
      <c r="K12" s="1359"/>
    </row>
    <row r="13" spans="1:11" ht="24" customHeight="1">
      <c r="A13" s="1336"/>
      <c r="B13" s="1337"/>
      <c r="C13" s="1338" t="s">
        <v>398</v>
      </c>
      <c r="D13" s="1339"/>
      <c r="E13" s="1340"/>
      <c r="F13" s="1341"/>
      <c r="G13" s="1342"/>
      <c r="H13" s="1343"/>
      <c r="I13" s="1342"/>
      <c r="J13" s="1346">
        <f>ROUNDDOWN(J12,-2)</f>
        <v>1500</v>
      </c>
      <c r="K13" s="1360"/>
    </row>
    <row r="14" spans="1:11" ht="21.75" hidden="1" customHeight="1">
      <c r="A14" s="1319"/>
      <c r="B14" s="1344"/>
      <c r="C14" s="1338" t="s">
        <v>398</v>
      </c>
      <c r="D14" s="1345"/>
      <c r="E14" s="1321"/>
      <c r="F14" s="1346"/>
      <c r="G14" s="1347"/>
      <c r="H14" s="1348"/>
      <c r="I14" s="1347"/>
      <c r="J14" s="1347">
        <f>ROUNDDOWN(J12,0)</f>
        <v>1500</v>
      </c>
      <c r="K14" s="1361"/>
    </row>
    <row r="15" spans="1:11" ht="21.75" customHeight="1"/>
    <row r="16" spans="1:11" ht="21.75" customHeight="1"/>
    <row r="17" ht="21.75" customHeight="1"/>
    <row r="18" ht="21.75" customHeight="1"/>
    <row r="19" ht="21.75" customHeight="1"/>
    <row r="20" ht="21.75" customHeight="1"/>
    <row r="21" ht="21.75" customHeight="1"/>
    <row r="22" ht="21.75" customHeight="1"/>
    <row r="23" ht="21.75" customHeight="1"/>
    <row r="24" ht="21.75" customHeight="1"/>
    <row r="25" ht="21.75" customHeight="1"/>
    <row r="26" ht="21.75" customHeight="1"/>
    <row r="27" ht="21.75" customHeight="1"/>
    <row r="28" ht="21.75" customHeight="1"/>
    <row r="29" ht="21.75" customHeight="1"/>
    <row r="30" ht="21.75" customHeight="1"/>
    <row r="31" ht="21.75" customHeight="1"/>
    <row r="32" ht="21.75" customHeight="1"/>
    <row r="33" ht="21.75" customHeight="1"/>
    <row r="34" ht="21.75" customHeight="1"/>
    <row r="35" ht="21.75" customHeight="1"/>
    <row r="36" ht="21.75" customHeight="1"/>
    <row r="37" ht="21.75" customHeight="1"/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  <row r="108" ht="21.75" customHeight="1"/>
    <row r="109" ht="21.75" customHeight="1"/>
    <row r="110" ht="21.75" customHeight="1"/>
    <row r="111" ht="21.75" customHeight="1"/>
    <row r="112" ht="21.75" customHeight="1"/>
    <row r="113" ht="21.75" customHeight="1"/>
    <row r="114" ht="21.75" customHeight="1"/>
    <row r="115" ht="21.75" customHeight="1"/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</sheetData>
  <printOptions horizontalCentered="1"/>
  <pageMargins left="0.39370078740157499" right="0" top="0.78740157480314998" bottom="0.59055118110236204" header="0.39370078740157499" footer="0"/>
  <pageSetup paperSize="9" orientation="landscape" r:id="rId1"/>
  <headerFooter scaleWithDoc="0" alignWithMargins="0">
    <oddHeader>&amp;Rแบบ ปร.4 แผ่นที่ &amp;P/1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3"/>
  <sheetViews>
    <sheetView topLeftCell="A6" workbookViewId="0">
      <selection activeCell="Q11" sqref="Q11"/>
    </sheetView>
  </sheetViews>
  <sheetFormatPr defaultColWidth="7.88671875" defaultRowHeight="21"/>
  <cols>
    <col min="1" max="1" width="10.33203125" style="311" customWidth="1"/>
    <col min="2" max="3" width="4.109375" style="311" customWidth="1"/>
    <col min="4" max="4" width="10.33203125" style="311" customWidth="1"/>
    <col min="5" max="5" width="7.6640625" style="311" customWidth="1"/>
    <col min="6" max="6" width="9.109375" style="311" customWidth="1"/>
    <col min="7" max="7" width="9" style="311" customWidth="1"/>
    <col min="8" max="8" width="7.109375" style="311" customWidth="1"/>
    <col min="9" max="9" width="6.77734375" style="311" customWidth="1"/>
    <col min="10" max="10" width="15.33203125" style="311" customWidth="1"/>
    <col min="11" max="11" width="8.77734375" style="311" customWidth="1"/>
    <col min="12" max="12" width="14.109375" style="311" customWidth="1"/>
    <col min="13" max="13" width="10.33203125" style="311" customWidth="1"/>
    <col min="14" max="14" width="7" style="311" customWidth="1"/>
    <col min="15" max="15" width="5.44140625" style="311" customWidth="1"/>
    <col min="16" max="16" width="4.6640625" style="311" customWidth="1"/>
    <col min="17" max="17" width="7" style="311" customWidth="1"/>
    <col min="18" max="16384" width="7.88671875" style="311"/>
  </cols>
  <sheetData>
    <row r="1" spans="1:17" ht="25.2">
      <c r="A1" s="1955" t="s">
        <v>86</v>
      </c>
      <c r="B1" s="1955"/>
      <c r="C1" s="1955"/>
      <c r="D1" s="1955"/>
      <c r="E1" s="1955"/>
      <c r="F1" s="1955"/>
      <c r="G1" s="1955"/>
      <c r="H1" s="1955"/>
      <c r="I1" s="1955"/>
      <c r="J1" s="1955"/>
      <c r="K1" s="1955"/>
      <c r="L1" s="1955"/>
      <c r="M1" s="1955"/>
      <c r="N1" s="1955"/>
    </row>
    <row r="2" spans="1:17" s="336" customFormat="1" ht="18">
      <c r="A2" s="692" t="s">
        <v>404</v>
      </c>
      <c r="B2" s="692"/>
      <c r="C2" s="692"/>
      <c r="D2" s="602" t="str">
        <f>[69]ปร4!D3</f>
        <v>งานอาคาร/งานปรับปรุงระน้ำประปา</v>
      </c>
      <c r="E2" s="602"/>
      <c r="F2" s="602"/>
      <c r="G2" s="602"/>
      <c r="H2" s="692"/>
      <c r="I2" s="692"/>
      <c r="J2" s="692"/>
      <c r="K2" s="692"/>
      <c r="L2" s="692"/>
      <c r="M2" s="692"/>
      <c r="N2" s="692"/>
      <c r="O2" s="692"/>
    </row>
    <row r="3" spans="1:17" s="336" customFormat="1" ht="18">
      <c r="A3" s="692" t="s">
        <v>405</v>
      </c>
      <c r="B3" s="692"/>
      <c r="C3" s="692"/>
      <c r="D3" s="692" t="str">
        <f>[69]ปร4!D4</f>
        <v>ปรัปปรุงระบบประปา(บาดาล)ภายในหมู่บ้าน ท่อ PVC  ชั้น 8.5 ขนาด 2 นิ้ว  ระยะทางไม่น้อยกว่า</v>
      </c>
      <c r="E3" s="692"/>
      <c r="F3" s="692"/>
      <c r="G3" s="692"/>
      <c r="K3" s="1280">
        <f>[69]ปร4!M4</f>
        <v>585</v>
      </c>
      <c r="L3" s="692" t="s">
        <v>237</v>
      </c>
      <c r="M3" s="692"/>
      <c r="N3" s="692"/>
      <c r="O3" s="692"/>
    </row>
    <row r="4" spans="1:17" s="336" customFormat="1" ht="18">
      <c r="A4" s="692" t="s">
        <v>406</v>
      </c>
      <c r="B4" s="602"/>
      <c r="C4" s="602"/>
      <c r="D4" s="602" t="str">
        <f>[69]ปร4!D5</f>
        <v>หมู่ที่ 5 บ้านเหล่าม่วง</v>
      </c>
      <c r="E4" s="602"/>
      <c r="F4" s="602"/>
      <c r="G4" s="602"/>
      <c r="H4" s="692"/>
      <c r="I4" s="692"/>
      <c r="J4" s="692"/>
      <c r="K4" s="692"/>
      <c r="L4" s="602"/>
      <c r="M4" s="602"/>
      <c r="N4" s="602"/>
      <c r="O4" s="602"/>
    </row>
    <row r="5" spans="1:17" s="336" customFormat="1" ht="18">
      <c r="A5" s="692" t="s">
        <v>407</v>
      </c>
      <c r="B5" s="692"/>
      <c r="C5" s="692"/>
      <c r="D5" s="692" t="str">
        <f>[69]ปร4!D6</f>
        <v>อบต.ชด.ขบญ. 11/2567</v>
      </c>
      <c r="F5" s="692" t="str">
        <f>[69]ปร4!G6</f>
        <v>ตามรายละเอียดแบบแปลนองค์การบริหารส่วนตำบลเชียงดากำหนด</v>
      </c>
      <c r="H5" s="692"/>
      <c r="I5" s="692"/>
      <c r="J5" s="692"/>
      <c r="K5" s="692"/>
      <c r="L5" s="692"/>
      <c r="M5" s="692"/>
      <c r="N5" s="692"/>
      <c r="O5" s="692"/>
    </row>
    <row r="6" spans="1:17" s="336" customFormat="1" ht="18">
      <c r="A6" s="692" t="s">
        <v>408</v>
      </c>
      <c r="B6" s="692"/>
      <c r="C6" s="692"/>
      <c r="D6" s="692" t="str">
        <f>[69]ปร4!D7</f>
        <v>องค์การบริหารส่วนตำบลเชียงดา ตำบลเชียงดา อำเภอสร้างคอม จังหวัดอุดรธานี</v>
      </c>
      <c r="E6" s="692"/>
      <c r="F6" s="692"/>
      <c r="G6" s="692"/>
      <c r="H6" s="692"/>
      <c r="I6" s="692"/>
      <c r="J6" s="692"/>
      <c r="K6" s="692"/>
      <c r="L6" s="692"/>
      <c r="M6" s="692"/>
      <c r="N6" s="692"/>
      <c r="O6" s="692"/>
    </row>
    <row r="7" spans="1:17" s="336" customFormat="1" ht="18">
      <c r="A7" s="602" t="s">
        <v>409</v>
      </c>
      <c r="B7" s="692"/>
      <c r="C7" s="692"/>
      <c r="D7" s="692" t="str">
        <f>[69]ปร4!D8</f>
        <v>เมื่อวันที่  1 เดือนสิงหาคม พ.ศ.2567</v>
      </c>
      <c r="E7" s="692"/>
      <c r="F7" s="692"/>
      <c r="G7" s="692"/>
      <c r="H7" s="692" t="str">
        <f>[69]ปร4!J8</f>
        <v>ราคาน้ำมันโซล่า 33.00-33.99 บาท/ลิตร</v>
      </c>
      <c r="I7" s="692"/>
      <c r="J7" s="692"/>
      <c r="K7" s="692"/>
      <c r="L7" s="692"/>
      <c r="M7" s="692"/>
      <c r="N7" s="692"/>
      <c r="O7" s="692"/>
    </row>
    <row r="8" spans="1:17">
      <c r="A8" s="336"/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</row>
    <row r="9" spans="1:17">
      <c r="A9" s="1910" t="s">
        <v>95</v>
      </c>
      <c r="B9" s="1963" t="s">
        <v>96</v>
      </c>
      <c r="C9" s="1963"/>
      <c r="D9" s="1963"/>
      <c r="E9" s="1960"/>
      <c r="F9" s="1863" t="s">
        <v>11</v>
      </c>
      <c r="G9" s="132" t="s">
        <v>12</v>
      </c>
      <c r="H9" s="1858" t="s">
        <v>97</v>
      </c>
      <c r="I9" s="1859"/>
      <c r="J9" s="1859"/>
      <c r="K9" s="1860"/>
      <c r="L9" s="1960" t="s">
        <v>98</v>
      </c>
      <c r="M9" s="1863" t="s">
        <v>99</v>
      </c>
      <c r="N9" s="1961" t="s">
        <v>100</v>
      </c>
      <c r="P9" s="1281"/>
    </row>
    <row r="10" spans="1:17">
      <c r="A10" s="1913"/>
      <c r="B10" s="1964"/>
      <c r="C10" s="1964"/>
      <c r="D10" s="1964"/>
      <c r="E10" s="1890"/>
      <c r="F10" s="1929"/>
      <c r="G10" s="1273" t="s">
        <v>31</v>
      </c>
      <c r="H10" s="1889" t="s">
        <v>410</v>
      </c>
      <c r="I10" s="1890"/>
      <c r="J10" s="1272" t="s">
        <v>411</v>
      </c>
      <c r="K10" s="1272" t="s">
        <v>102</v>
      </c>
      <c r="L10" s="1890"/>
      <c r="M10" s="1929"/>
      <c r="N10" s="1962"/>
      <c r="P10" s="1281"/>
    </row>
    <row r="11" spans="1:17" ht="24" customHeight="1">
      <c r="A11" s="973">
        <v>1</v>
      </c>
      <c r="B11" s="619" t="str">
        <f>[69]ปร4!B13</f>
        <v>- ท่อ PVC ชั้น 8.5 ปลายบาน Dia 2 นิ้ว</v>
      </c>
      <c r="C11" s="619"/>
      <c r="D11" s="619"/>
      <c r="E11" s="976"/>
      <c r="F11" s="1010" t="s">
        <v>412</v>
      </c>
      <c r="G11" s="1274">
        <f>H11</f>
        <v>44.25</v>
      </c>
      <c r="H11" s="1956">
        <f>Q11/4</f>
        <v>44.25</v>
      </c>
      <c r="I11" s="1957"/>
      <c r="J11" s="1274">
        <f>183/4</f>
        <v>45.75</v>
      </c>
      <c r="K11" s="1274" t="s">
        <v>413</v>
      </c>
      <c r="L11" s="1277" t="s">
        <v>413</v>
      </c>
      <c r="M11" s="1282">
        <v>243824</v>
      </c>
      <c r="N11" s="622"/>
      <c r="O11" s="1283" t="s">
        <v>414</v>
      </c>
      <c r="P11" s="1284" t="s">
        <v>65</v>
      </c>
      <c r="Q11" s="1293">
        <v>177</v>
      </c>
    </row>
    <row r="12" spans="1:17" ht="24" customHeight="1">
      <c r="A12" s="1275">
        <v>2</v>
      </c>
      <c r="B12" s="658" t="str">
        <f>'[70]ปร4 (อาร์ม)'!B31</f>
        <v>- ข้อต่อท่อ PVC ตรง Dia 2 นิ้ว</v>
      </c>
      <c r="C12" s="658"/>
      <c r="D12" s="658"/>
      <c r="E12" s="1276"/>
      <c r="F12" s="327" t="s">
        <v>415</v>
      </c>
      <c r="G12" s="1277" t="str">
        <f t="shared" ref="G12:G17" si="0">L12</f>
        <v>-</v>
      </c>
      <c r="H12" s="1958" t="s">
        <v>102</v>
      </c>
      <c r="I12" s="1959"/>
      <c r="J12" s="1277" t="s">
        <v>102</v>
      </c>
      <c r="K12" s="1277" t="s">
        <v>413</v>
      </c>
      <c r="L12" s="1277" t="s">
        <v>413</v>
      </c>
      <c r="M12" s="1285">
        <f>M11</f>
        <v>243824</v>
      </c>
      <c r="N12" s="1157"/>
      <c r="O12" s="1286"/>
      <c r="P12" s="1287"/>
      <c r="Q12" s="1294"/>
    </row>
    <row r="13" spans="1:17">
      <c r="A13" s="600">
        <v>3</v>
      </c>
      <c r="B13" s="692" t="str">
        <f>'[70]ปร4 (อาร์ม)'!B32</f>
        <v>- บอลวาร์ล PVC ขนาด Dai 2 นิ้ว</v>
      </c>
      <c r="C13" s="692"/>
      <c r="D13" s="692"/>
      <c r="E13" s="603"/>
      <c r="F13" s="327" t="s">
        <v>415</v>
      </c>
      <c r="G13" s="1145">
        <f t="shared" ref="G13:G16" si="1">J13</f>
        <v>75</v>
      </c>
      <c r="H13" s="1965">
        <v>78</v>
      </c>
      <c r="I13" s="1966"/>
      <c r="J13" s="1288">
        <v>75</v>
      </c>
      <c r="K13" s="1277" t="s">
        <v>413</v>
      </c>
      <c r="L13" s="1277" t="s">
        <v>413</v>
      </c>
      <c r="M13" s="1289">
        <f>M11</f>
        <v>243824</v>
      </c>
      <c r="N13" s="608"/>
      <c r="O13" s="1062" t="s">
        <v>416</v>
      </c>
      <c r="P13" s="1290"/>
      <c r="Q13" s="107"/>
    </row>
    <row r="14" spans="1:17">
      <c r="A14" s="600">
        <v>4</v>
      </c>
      <c r="B14" s="692" t="str">
        <f>'[70]ปร4 (อาร์ม)'!B33</f>
        <v>- ข้องอ PVC 90 ขนาด Dai 2 นิ้ว</v>
      </c>
      <c r="C14" s="692"/>
      <c r="D14" s="692"/>
      <c r="E14" s="603"/>
      <c r="F14" s="327" t="s">
        <v>415</v>
      </c>
      <c r="G14" s="1145">
        <f t="shared" si="0"/>
        <v>36.450000000000003</v>
      </c>
      <c r="H14" s="1965">
        <v>39.5</v>
      </c>
      <c r="I14" s="1966"/>
      <c r="J14" s="1277">
        <v>38</v>
      </c>
      <c r="K14" s="1277" t="s">
        <v>413</v>
      </c>
      <c r="L14" s="1291">
        <v>36.450000000000003</v>
      </c>
      <c r="M14" s="1289">
        <f>M11</f>
        <v>243824</v>
      </c>
      <c r="N14" s="608"/>
    </row>
    <row r="15" spans="1:17">
      <c r="A15" s="600">
        <v>5</v>
      </c>
      <c r="B15" s="692" t="str">
        <f>'[70]ปร4 (อาร์ม)'!B34</f>
        <v>- สามทาง 2 นิ้ว ลด 1/2 นิ้ว</v>
      </c>
      <c r="C15" s="692"/>
      <c r="D15" s="692"/>
      <c r="E15" s="603"/>
      <c r="F15" s="327" t="s">
        <v>415</v>
      </c>
      <c r="G15" s="1145">
        <f t="shared" si="1"/>
        <v>64</v>
      </c>
      <c r="H15" s="1967">
        <v>76</v>
      </c>
      <c r="I15" s="1968"/>
      <c r="J15" s="1288">
        <v>64</v>
      </c>
      <c r="K15" s="1277" t="s">
        <v>413</v>
      </c>
      <c r="L15" s="1277" t="s">
        <v>413</v>
      </c>
      <c r="M15" s="1289">
        <f>M11</f>
        <v>243824</v>
      </c>
      <c r="N15" s="608"/>
      <c r="P15" s="1281"/>
    </row>
    <row r="16" spans="1:17">
      <c r="A16" s="600">
        <v>6</v>
      </c>
      <c r="B16" s="692" t="str">
        <f>'[70]ปร4 (อาร์ม)'!B35</f>
        <v>- ฝาปิด PVC ขนาด 2 นิ้ว</v>
      </c>
      <c r="C16" s="692"/>
      <c r="D16" s="692"/>
      <c r="E16" s="603"/>
      <c r="F16" s="327" t="s">
        <v>415</v>
      </c>
      <c r="G16" s="1145">
        <f t="shared" si="1"/>
        <v>31</v>
      </c>
      <c r="H16" s="1967">
        <v>36</v>
      </c>
      <c r="I16" s="1968"/>
      <c r="J16" s="1288">
        <v>31</v>
      </c>
      <c r="K16" s="1277" t="s">
        <v>413</v>
      </c>
      <c r="L16" s="1277" t="s">
        <v>413</v>
      </c>
      <c r="M16" s="1289">
        <f>M11</f>
        <v>243824</v>
      </c>
      <c r="N16" s="608"/>
      <c r="P16" s="1281"/>
    </row>
    <row r="17" spans="1:16">
      <c r="A17" s="600">
        <v>7</v>
      </c>
      <c r="B17" s="692" t="s">
        <v>417</v>
      </c>
      <c r="C17" s="692"/>
      <c r="D17" s="692"/>
      <c r="E17" s="603"/>
      <c r="F17" s="327" t="s">
        <v>418</v>
      </c>
      <c r="G17" s="1145" t="str">
        <f t="shared" si="0"/>
        <v>-</v>
      </c>
      <c r="H17" s="1967">
        <v>137</v>
      </c>
      <c r="I17" s="1968"/>
      <c r="J17" s="1291">
        <v>137</v>
      </c>
      <c r="K17" s="1277" t="s">
        <v>413</v>
      </c>
      <c r="L17" s="1277" t="s">
        <v>413</v>
      </c>
      <c r="M17" s="1289">
        <f>M11</f>
        <v>243824</v>
      </c>
      <c r="N17" s="608"/>
      <c r="P17" s="1281"/>
    </row>
    <row r="18" spans="1:16">
      <c r="A18" s="637"/>
      <c r="B18" s="638"/>
      <c r="C18" s="638"/>
      <c r="D18" s="638"/>
      <c r="E18" s="1278"/>
      <c r="F18" s="1279"/>
      <c r="G18" s="1279"/>
      <c r="H18" s="1969"/>
      <c r="I18" s="1970"/>
      <c r="J18" s="1292"/>
      <c r="K18" s="1292"/>
      <c r="L18" s="1292"/>
      <c r="M18" s="1279"/>
      <c r="N18" s="639"/>
    </row>
    <row r="19" spans="1:16">
      <c r="P19" s="1281"/>
    </row>
    <row r="20" spans="1:16">
      <c r="D20" s="1971"/>
      <c r="E20" s="1971"/>
      <c r="F20" s="1971"/>
      <c r="P20" s="311">
        <v>500</v>
      </c>
    </row>
    <row r="21" spans="1:16">
      <c r="D21" s="1972" t="s">
        <v>419</v>
      </c>
      <c r="E21" s="1972"/>
      <c r="F21" s="1972"/>
      <c r="P21" s="311">
        <v>450</v>
      </c>
    </row>
    <row r="22" spans="1:16">
      <c r="D22" s="1972" t="s">
        <v>420</v>
      </c>
      <c r="E22" s="1972"/>
      <c r="F22" s="1972"/>
      <c r="P22" s="1281">
        <v>5500</v>
      </c>
    </row>
    <row r="23" spans="1:16">
      <c r="D23" s="1972" t="s">
        <v>421</v>
      </c>
      <c r="E23" s="1972"/>
      <c r="F23" s="1972"/>
      <c r="P23" s="1281">
        <f>SUM(P9:P22)</f>
        <v>6450</v>
      </c>
    </row>
  </sheetData>
  <mergeCells count="21">
    <mergeCell ref="H18:I18"/>
    <mergeCell ref="D20:F20"/>
    <mergeCell ref="D21:F21"/>
    <mergeCell ref="D22:F22"/>
    <mergeCell ref="D23:F23"/>
    <mergeCell ref="H13:I13"/>
    <mergeCell ref="H14:I14"/>
    <mergeCell ref="H15:I15"/>
    <mergeCell ref="H16:I16"/>
    <mergeCell ref="H17:I17"/>
    <mergeCell ref="A1:N1"/>
    <mergeCell ref="H9:K9"/>
    <mergeCell ref="H10:I10"/>
    <mergeCell ref="H11:I11"/>
    <mergeCell ref="H12:I12"/>
    <mergeCell ref="A9:A10"/>
    <mergeCell ref="F9:F10"/>
    <mergeCell ref="L9:L10"/>
    <mergeCell ref="M9:M10"/>
    <mergeCell ref="N9:N10"/>
    <mergeCell ref="B9:E10"/>
  </mergeCells>
  <pageMargins left="0.70069444444444495" right="0.70069444444444495" top="0.75138888888888899" bottom="0.75138888888888899" header="0.29861111111111099" footer="0.298611111111110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  <pageSetUpPr fitToPage="1"/>
  </sheetPr>
  <dimension ref="A1:V65"/>
  <sheetViews>
    <sheetView view="pageBreakPreview" zoomScaleNormal="100" workbookViewId="0">
      <selection activeCell="M24" sqref="M24"/>
    </sheetView>
  </sheetViews>
  <sheetFormatPr defaultColWidth="8" defaultRowHeight="18"/>
  <cols>
    <col min="1" max="1" width="5.21875" style="336" customWidth="1"/>
    <col min="2" max="2" width="5.44140625" style="336" customWidth="1"/>
    <col min="3" max="3" width="7.21875" style="336" customWidth="1"/>
    <col min="4" max="4" width="14.33203125" style="336" customWidth="1"/>
    <col min="5" max="5" width="11.21875" style="336" customWidth="1"/>
    <col min="6" max="6" width="8.6640625" style="336" customWidth="1"/>
    <col min="7" max="7" width="20.21875" style="336" customWidth="1"/>
    <col min="8" max="8" width="9.5546875" style="336" customWidth="1"/>
    <col min="9" max="9" width="9.21875" style="336" customWidth="1"/>
    <col min="10" max="10" width="8.109375" style="336" customWidth="1"/>
    <col min="11" max="11" width="6.21875" style="336" customWidth="1"/>
    <col min="12" max="12" width="13.77734375" style="336" customWidth="1"/>
    <col min="13" max="13" width="12.77734375" style="336" customWidth="1"/>
    <col min="14" max="14" width="12.21875" style="336" customWidth="1"/>
    <col min="15" max="15" width="9.88671875" style="336" customWidth="1"/>
    <col min="16" max="16" width="10.6640625" style="336" customWidth="1"/>
    <col min="17" max="17" width="7.21875" style="336" customWidth="1"/>
    <col min="18" max="18" width="3.88671875" style="336" customWidth="1"/>
    <col min="19" max="19" width="9.21875" style="336"/>
    <col min="20" max="20" width="3.88671875" style="336" customWidth="1"/>
    <col min="21" max="21" width="6.44140625" style="336" customWidth="1"/>
    <col min="22" max="22" width="3.88671875" style="336" customWidth="1"/>
    <col min="23" max="16384" width="8" style="336"/>
  </cols>
  <sheetData>
    <row r="1" spans="1:17">
      <c r="N1" s="591" t="s">
        <v>503</v>
      </c>
    </row>
    <row r="2" spans="1:17">
      <c r="A2" s="1934" t="s">
        <v>504</v>
      </c>
      <c r="B2" s="1934"/>
      <c r="C2" s="1934"/>
      <c r="D2" s="1973"/>
      <c r="E2" s="1973"/>
      <c r="F2" s="1973"/>
      <c r="G2" s="1973"/>
      <c r="H2" s="1973"/>
      <c r="I2" s="1973"/>
      <c r="J2" s="1973"/>
      <c r="K2" s="1973"/>
      <c r="L2" s="1973"/>
      <c r="M2" s="1973"/>
      <c r="N2" s="1973"/>
    </row>
    <row r="3" spans="1:17">
      <c r="A3" s="592" t="s">
        <v>404</v>
      </c>
      <c r="D3" s="336" t="s">
        <v>505</v>
      </c>
      <c r="E3" s="597"/>
    </row>
    <row r="4" spans="1:17">
      <c r="A4" s="592" t="s">
        <v>405</v>
      </c>
      <c r="D4" s="336" t="str">
        <f>'ปร4 โครงสร้างหอถัง'!D3</f>
        <v xml:space="preserve">ก่อสร้างระบบประปาหมู่บ้านแบบบาดาลพร้อมหอถังสูง พร้อมเจาะบ่อบาดาล  </v>
      </c>
      <c r="H4" s="336" t="s">
        <v>179</v>
      </c>
      <c r="I4" s="337">
        <f>คิดตอม่อโซล่า!C2</f>
        <v>10</v>
      </c>
      <c r="J4" s="710" t="s">
        <v>78</v>
      </c>
    </row>
    <row r="5" spans="1:17">
      <c r="A5" s="592"/>
      <c r="D5" s="336" t="str">
        <f>'ปร4 โครงสร้างหอถัง'!D4</f>
        <v>และติดตั้งถังไฟเบอร์กล๊าส ขนาด 2.50 ลบ.ม. จำนวน 4 ถัง พร้อมติดตั้งระบบไฟฟ้า ก่อสร้างไฟฟ้าส่องส่ว่างระบบโซล่าเซลล์จำนวน 10 ต้น</v>
      </c>
      <c r="I5" s="337"/>
      <c r="J5" s="710"/>
    </row>
    <row r="6" spans="1:17">
      <c r="A6" s="592" t="s">
        <v>406</v>
      </c>
      <c r="B6" s="597"/>
      <c r="C6" s="597"/>
      <c r="D6" s="597" t="str">
        <f>'ปร4 โครงสร้างหอถัง'!D5</f>
        <v>หมู่ที่ 4 บ้านโนนสมบูรณ์</v>
      </c>
      <c r="E6" s="597"/>
      <c r="J6" s="597"/>
      <c r="K6" s="597"/>
      <c r="L6" s="597"/>
      <c r="M6" s="597"/>
      <c r="N6" s="597"/>
    </row>
    <row r="7" spans="1:17">
      <c r="A7" s="592" t="s">
        <v>407</v>
      </c>
      <c r="D7" s="336" t="str">
        <f>'ปร4 โครงสร้างหอถัง'!D6</f>
        <v xml:space="preserve">อบต.ชด.สส. 10/2567      </v>
      </c>
      <c r="F7" s="672" t="s">
        <v>424</v>
      </c>
    </row>
    <row r="8" spans="1:17">
      <c r="A8" s="592" t="s">
        <v>408</v>
      </c>
      <c r="D8" s="336" t="s">
        <v>425</v>
      </c>
    </row>
    <row r="9" spans="1:17">
      <c r="A9" s="594" t="str">
        <f>'[71]ปร4 โครงสร้าง'!A8</f>
        <v xml:space="preserve">กำหนดราคากลางวันที่      </v>
      </c>
      <c r="D9" s="336" t="str">
        <f>'ปร4 โครงสร้างหอถัง'!D8</f>
        <v xml:space="preserve">  1   เดือน เมษายน พ.ศ.2568</v>
      </c>
      <c r="H9" s="673" t="s">
        <v>1069</v>
      </c>
    </row>
    <row r="10" spans="1:17">
      <c r="A10" s="597"/>
      <c r="B10" s="597"/>
      <c r="C10" s="597"/>
      <c r="N10" s="336" t="s">
        <v>427</v>
      </c>
    </row>
    <row r="11" spans="1:17">
      <c r="A11" s="1979" t="s">
        <v>310</v>
      </c>
      <c r="B11" s="1991" t="s">
        <v>96</v>
      </c>
      <c r="C11" s="1992"/>
      <c r="D11" s="1992"/>
      <c r="E11" s="1992"/>
      <c r="F11" s="1995" t="s">
        <v>179</v>
      </c>
      <c r="G11" s="1991" t="s">
        <v>11</v>
      </c>
      <c r="H11" s="1974" t="s">
        <v>107</v>
      </c>
      <c r="I11" s="1975"/>
      <c r="J11" s="1974" t="s">
        <v>394</v>
      </c>
      <c r="K11" s="1976"/>
      <c r="L11" s="1975"/>
      <c r="M11" s="711" t="s">
        <v>109</v>
      </c>
      <c r="N11" s="1981" t="s">
        <v>100</v>
      </c>
    </row>
    <row r="12" spans="1:17">
      <c r="A12" s="1980"/>
      <c r="B12" s="1993"/>
      <c r="C12" s="1994"/>
      <c r="D12" s="1994"/>
      <c r="E12" s="1994"/>
      <c r="F12" s="1996"/>
      <c r="G12" s="1993"/>
      <c r="H12" s="316" t="s">
        <v>180</v>
      </c>
      <c r="I12" s="316" t="s">
        <v>428</v>
      </c>
      <c r="J12" s="1977" t="s">
        <v>180</v>
      </c>
      <c r="K12" s="1978"/>
      <c r="L12" s="316" t="s">
        <v>319</v>
      </c>
      <c r="M12" s="316" t="s">
        <v>429</v>
      </c>
      <c r="N12" s="1982"/>
    </row>
    <row r="13" spans="1:17">
      <c r="A13" s="1007">
        <v>2</v>
      </c>
      <c r="B13" s="1201" t="s">
        <v>506</v>
      </c>
      <c r="C13" s="1009"/>
      <c r="D13" s="1009"/>
      <c r="E13" s="1247"/>
      <c r="F13" s="1009"/>
      <c r="G13" s="1248"/>
      <c r="H13" s="1010"/>
      <c r="I13" s="1010"/>
      <c r="J13" s="1255"/>
      <c r="K13" s="1256"/>
      <c r="L13" s="1010"/>
      <c r="M13" s="1010"/>
      <c r="N13" s="343"/>
    </row>
    <row r="14" spans="1:17">
      <c r="A14" s="623"/>
      <c r="B14" s="1249" t="s">
        <v>507</v>
      </c>
      <c r="C14" s="674"/>
      <c r="D14" s="674"/>
      <c r="E14" s="675"/>
      <c r="F14" s="674"/>
      <c r="G14" s="676"/>
      <c r="H14" s="677"/>
      <c r="I14" s="677"/>
      <c r="J14" s="1958"/>
      <c r="K14" s="1959"/>
      <c r="L14" s="677"/>
      <c r="M14" s="677"/>
      <c r="N14" s="714"/>
    </row>
    <row r="15" spans="1:17" ht="21">
      <c r="A15" s="82"/>
      <c r="B15" s="77" t="s">
        <v>508</v>
      </c>
      <c r="C15" s="678"/>
      <c r="D15" s="678"/>
      <c r="E15" s="679"/>
      <c r="F15" s="1250">
        <f>I4</f>
        <v>10</v>
      </c>
      <c r="G15" s="1251" t="s">
        <v>65</v>
      </c>
      <c r="H15" s="328">
        <v>2350</v>
      </c>
      <c r="I15" s="650">
        <f>SUM(F15*H15)</f>
        <v>23500</v>
      </c>
      <c r="J15" s="1983">
        <f>P15*10</f>
        <v>385.9</v>
      </c>
      <c r="K15" s="1983"/>
      <c r="L15" s="650">
        <f>F15*J15</f>
        <v>3859</v>
      </c>
      <c r="M15" s="650">
        <f>L15+I15</f>
        <v>27359</v>
      </c>
      <c r="N15" s="344"/>
      <c r="O15" s="337">
        <f>M15</f>
        <v>27359</v>
      </c>
      <c r="P15" s="1257">
        <v>38.590000000000003</v>
      </c>
      <c r="Q15" s="1264" t="s">
        <v>509</v>
      </c>
    </row>
    <row r="16" spans="1:17" ht="21">
      <c r="A16" s="82"/>
      <c r="B16" s="1768" t="s">
        <v>1086</v>
      </c>
      <c r="C16" s="678"/>
      <c r="D16" s="678"/>
      <c r="E16" s="679"/>
      <c r="F16" s="1212"/>
      <c r="G16" s="49"/>
      <c r="H16" s="328"/>
      <c r="I16" s="650"/>
      <c r="J16" s="1983"/>
      <c r="K16" s="1983"/>
      <c r="L16" s="650"/>
      <c r="M16" s="650"/>
      <c r="N16" s="344"/>
    </row>
    <row r="17" spans="1:22">
      <c r="A17" s="82"/>
      <c r="B17" s="1768" t="s">
        <v>1087</v>
      </c>
      <c r="C17" s="678"/>
      <c r="D17" s="678"/>
      <c r="E17" s="678"/>
      <c r="F17" s="1199">
        <f>I4</f>
        <v>10</v>
      </c>
      <c r="G17" s="1252" t="str">
        <f>J4</f>
        <v>ต้น</v>
      </c>
      <c r="H17" s="1199">
        <v>5300</v>
      </c>
      <c r="I17" s="650">
        <f>SUM(H17*F17)</f>
        <v>53000</v>
      </c>
      <c r="J17" s="1983">
        <v>1000</v>
      </c>
      <c r="K17" s="1983"/>
      <c r="L17" s="650">
        <f>F17*J17</f>
        <v>10000</v>
      </c>
      <c r="M17" s="650">
        <f>L17+I17</f>
        <v>63000</v>
      </c>
      <c r="N17" s="1258"/>
      <c r="O17" s="337">
        <f>(F17*500)+(F17*1500)</f>
        <v>20000</v>
      </c>
      <c r="P17" s="337">
        <f>F15*750</f>
        <v>7500</v>
      </c>
    </row>
    <row r="18" spans="1:22">
      <c r="A18" s="82"/>
      <c r="B18" s="77" t="s">
        <v>510</v>
      </c>
      <c r="C18" s="678"/>
      <c r="D18" s="678"/>
      <c r="E18" s="678"/>
      <c r="F18" s="1199"/>
      <c r="G18" s="81"/>
      <c r="H18" s="1199"/>
      <c r="I18" s="650"/>
      <c r="J18" s="1983"/>
      <c r="K18" s="1983"/>
      <c r="L18" s="650"/>
      <c r="M18" s="650"/>
      <c r="N18" s="344"/>
      <c r="O18" s="337">
        <f>SUM(O15:O17)</f>
        <v>47359</v>
      </c>
    </row>
    <row r="19" spans="1:22" customFormat="1">
      <c r="A19" s="82"/>
      <c r="B19" s="1202" t="s">
        <v>511</v>
      </c>
      <c r="C19" s="678"/>
      <c r="D19" s="678"/>
      <c r="E19" s="678"/>
      <c r="F19" s="1199"/>
      <c r="G19" s="680"/>
      <c r="H19" s="1199"/>
      <c r="I19" s="650"/>
      <c r="J19" s="1983"/>
      <c r="K19" s="1983"/>
      <c r="L19" s="650"/>
      <c r="M19" s="650"/>
      <c r="N19" s="1115"/>
    </row>
    <row r="20" spans="1:22" s="997" customFormat="1" ht="21" customHeight="1">
      <c r="A20" s="82"/>
      <c r="B20" s="1986"/>
      <c r="C20" s="1987"/>
      <c r="D20" s="1987"/>
      <c r="E20" s="1987"/>
      <c r="F20" s="1199"/>
      <c r="G20" s="1203"/>
      <c r="H20" s="328"/>
      <c r="I20" s="650"/>
      <c r="J20" s="1983"/>
      <c r="K20" s="1983"/>
      <c r="L20" s="650"/>
      <c r="M20" s="650"/>
      <c r="N20" s="1194"/>
    </row>
    <row r="21" spans="1:22" s="997" customFormat="1">
      <c r="A21" s="82"/>
      <c r="B21" s="1783"/>
      <c r="C21" s="1135"/>
      <c r="D21" s="692"/>
      <c r="E21" s="692"/>
      <c r="F21" s="650"/>
      <c r="G21" s="1203"/>
      <c r="H21" s="650"/>
      <c r="I21" s="650"/>
      <c r="J21" s="1983"/>
      <c r="K21" s="1983"/>
      <c r="L21" s="650"/>
      <c r="M21" s="650"/>
      <c r="N21" s="1207"/>
    </row>
    <row r="22" spans="1:22" s="997" customFormat="1">
      <c r="A22" s="82"/>
      <c r="B22" s="1781"/>
      <c r="C22" s="1781"/>
      <c r="D22" s="678"/>
      <c r="E22" s="678"/>
      <c r="F22" s="1199"/>
      <c r="G22" s="81"/>
      <c r="H22" s="1199"/>
      <c r="I22" s="1017"/>
      <c r="J22" s="1988"/>
      <c r="K22" s="1988"/>
      <c r="L22" s="1017"/>
      <c r="M22" s="1017"/>
      <c r="N22" s="1095"/>
    </row>
    <row r="23" spans="1:22" s="997" customFormat="1" ht="21">
      <c r="A23" s="323"/>
      <c r="B23" s="1782"/>
      <c r="C23" s="1781"/>
      <c r="D23" s="678"/>
      <c r="E23" s="678"/>
      <c r="F23" s="1769"/>
      <c r="G23" s="49"/>
      <c r="H23" s="328"/>
      <c r="I23" s="650"/>
      <c r="J23" s="1983"/>
      <c r="K23" s="1983"/>
      <c r="L23" s="650"/>
      <c r="M23" s="650"/>
      <c r="N23" s="344"/>
      <c r="O23" s="336"/>
      <c r="P23" s="336"/>
      <c r="Q23" s="336"/>
      <c r="R23" s="336"/>
      <c r="S23" s="336"/>
      <c r="T23" s="336"/>
      <c r="U23" s="336"/>
      <c r="V23" s="336"/>
    </row>
    <row r="24" spans="1:22">
      <c r="A24" s="323"/>
      <c r="B24" s="1782"/>
      <c r="C24" s="1781"/>
      <c r="D24" s="678"/>
      <c r="E24" s="678"/>
      <c r="F24" s="1199"/>
      <c r="G24" s="81"/>
      <c r="H24" s="328"/>
      <c r="I24" s="650"/>
      <c r="J24" s="1983"/>
      <c r="K24" s="1983"/>
      <c r="L24" s="650"/>
      <c r="M24" s="650"/>
      <c r="N24" s="344"/>
    </row>
    <row r="25" spans="1:22" s="997" customFormat="1" ht="16.8" customHeight="1">
      <c r="A25" s="323"/>
      <c r="B25" s="1779"/>
      <c r="C25" s="1780"/>
      <c r="D25" s="678"/>
      <c r="E25" s="678"/>
      <c r="F25" s="1199"/>
      <c r="G25" s="81"/>
      <c r="H25" s="1199"/>
      <c r="I25" s="650"/>
      <c r="J25" s="1983"/>
      <c r="K25" s="1983"/>
      <c r="L25" s="650"/>
      <c r="M25" s="650"/>
      <c r="N25" s="1095"/>
    </row>
    <row r="26" spans="1:22" s="997" customFormat="1" ht="18.600000000000001" customHeight="1">
      <c r="A26" s="323"/>
      <c r="B26" s="2007"/>
      <c r="C26" s="2008"/>
      <c r="D26" s="2008"/>
      <c r="E26" s="2009"/>
      <c r="F26" s="1253"/>
      <c r="G26" s="680"/>
      <c r="H26" s="1199"/>
      <c r="I26" s="650"/>
      <c r="J26" s="1983"/>
      <c r="K26" s="1983"/>
      <c r="L26" s="1259"/>
      <c r="M26" s="650"/>
      <c r="N26" s="1194"/>
    </row>
    <row r="27" spans="1:22" s="997" customFormat="1" ht="18.600000000000001" customHeight="1">
      <c r="A27" s="323"/>
      <c r="B27" s="1984"/>
      <c r="C27" s="1985"/>
      <c r="D27" s="1985"/>
      <c r="E27" s="1985"/>
      <c r="F27" s="1199"/>
      <c r="G27" s="1203"/>
      <c r="H27" s="328"/>
      <c r="I27" s="650"/>
      <c r="J27" s="1983"/>
      <c r="K27" s="1983"/>
      <c r="L27" s="650"/>
      <c r="M27" s="650"/>
      <c r="N27" s="1194"/>
    </row>
    <row r="28" spans="1:22" s="997" customFormat="1" ht="36.6" customHeight="1">
      <c r="A28" s="331"/>
      <c r="B28" s="1997" t="s">
        <v>512</v>
      </c>
      <c r="C28" s="1998"/>
      <c r="D28" s="1998"/>
      <c r="E28" s="1998"/>
      <c r="F28" s="1998"/>
      <c r="G28" s="1998"/>
      <c r="H28" s="1998"/>
      <c r="I28" s="1998"/>
      <c r="J28" s="1998"/>
      <c r="K28" s="1998"/>
      <c r="L28" s="1998"/>
      <c r="M28" s="1999"/>
      <c r="N28" s="1208"/>
      <c r="O28" s="1106"/>
    </row>
    <row r="29" spans="1:22" ht="26.4" customHeight="1">
      <c r="A29" s="1254"/>
      <c r="B29" s="2000"/>
      <c r="C29" s="2001"/>
      <c r="D29" s="2001"/>
      <c r="E29" s="2001"/>
      <c r="F29" s="715"/>
      <c r="G29" s="986"/>
      <c r="H29" s="715"/>
      <c r="I29" s="715"/>
      <c r="J29" s="1260" t="s">
        <v>513</v>
      </c>
      <c r="K29" s="1261"/>
      <c r="L29" s="1262"/>
      <c r="M29" s="1209">
        <f>SUM(M15:M28)</f>
        <v>90359</v>
      </c>
      <c r="N29" s="1263" t="s">
        <v>445</v>
      </c>
      <c r="O29" s="722">
        <f>M29</f>
        <v>90359</v>
      </c>
    </row>
    <row r="30" spans="1:22" ht="26.4" customHeight="1">
      <c r="A30" s="1751" t="s">
        <v>460</v>
      </c>
      <c r="B30" s="2002"/>
      <c r="C30" s="2003"/>
      <c r="D30" s="2003"/>
      <c r="E30" s="2003"/>
      <c r="F30" s="982"/>
      <c r="G30" s="983"/>
      <c r="H30" s="982"/>
      <c r="I30" s="982"/>
      <c r="J30" s="982"/>
      <c r="K30" s="982"/>
      <c r="L30" s="982"/>
      <c r="M30" s="1752" t="str">
        <f>"("&amp;BAHTTEXT(M29)&amp;")"</f>
        <v>(เก้าหมื่นสามร้อยห้าสิบเก้าบาทถ้วน)</v>
      </c>
      <c r="N30" s="655"/>
    </row>
    <row r="31" spans="1:22">
      <c r="A31" s="687"/>
      <c r="B31" s="690"/>
      <c r="C31" s="690"/>
      <c r="F31" s="688"/>
      <c r="G31" s="691"/>
      <c r="H31" s="688"/>
      <c r="I31" s="688"/>
      <c r="J31" s="688"/>
      <c r="K31" s="688"/>
      <c r="L31" s="688"/>
      <c r="M31" s="688"/>
    </row>
    <row r="32" spans="1:22">
      <c r="M32" s="688"/>
      <c r="N32" s="596"/>
    </row>
    <row r="33" spans="1:18">
      <c r="N33" s="596"/>
    </row>
    <row r="34" spans="1:18">
      <c r="N34" s="596"/>
    </row>
    <row r="35" spans="1:18">
      <c r="N35" s="596"/>
    </row>
    <row r="36" spans="1:18">
      <c r="N36" s="596"/>
    </row>
    <row r="37" spans="1:18">
      <c r="A37" s="336" t="e">
        <f>#REF!</f>
        <v>#REF!</v>
      </c>
      <c r="M37" s="596" t="s">
        <v>461</v>
      </c>
      <c r="N37" s="723"/>
    </row>
    <row r="38" spans="1:18">
      <c r="A38" s="692" t="e">
        <f>#REF!</f>
        <v>#REF!</v>
      </c>
      <c r="B38" s="692"/>
      <c r="C38" s="692"/>
      <c r="D38" s="692"/>
      <c r="E38" s="692"/>
      <c r="F38" s="692"/>
      <c r="G38" s="692"/>
      <c r="H38" s="692"/>
      <c r="I38" s="692"/>
      <c r="J38" s="692"/>
      <c r="K38" s="692"/>
      <c r="L38" s="692"/>
      <c r="N38" s="724"/>
    </row>
    <row r="39" spans="1:18">
      <c r="A39" s="692" t="e">
        <f>#REF!</f>
        <v>#REF!</v>
      </c>
      <c r="B39" s="692"/>
      <c r="C39" s="692"/>
      <c r="D39" s="692" t="s">
        <v>462</v>
      </c>
      <c r="E39" s="692"/>
      <c r="F39" s="692"/>
      <c r="G39" s="692"/>
      <c r="H39" s="692"/>
      <c r="I39" s="692"/>
      <c r="J39" s="692"/>
      <c r="K39" s="692"/>
      <c r="L39" s="692"/>
      <c r="M39" s="692"/>
      <c r="N39" s="724"/>
    </row>
    <row r="40" spans="1:18">
      <c r="A40" s="692" t="e">
        <f>#REF!</f>
        <v>#REF!</v>
      </c>
      <c r="B40" s="692"/>
      <c r="C40" s="692"/>
      <c r="D40" s="692"/>
      <c r="E40" s="692"/>
      <c r="F40" s="692"/>
      <c r="G40" s="692"/>
      <c r="H40" s="693"/>
      <c r="I40" s="692"/>
      <c r="J40" s="692"/>
      <c r="K40" s="692"/>
      <c r="L40" s="692"/>
      <c r="M40" s="692"/>
      <c r="N40" s="692"/>
    </row>
    <row r="41" spans="1:18">
      <c r="A41" s="692" t="str">
        <f>A9</f>
        <v xml:space="preserve">กำหนดราคากลางวันที่      </v>
      </c>
      <c r="B41" s="692"/>
      <c r="C41" s="692"/>
      <c r="D41" s="692"/>
      <c r="E41" s="692"/>
      <c r="F41" s="692"/>
      <c r="G41" s="692"/>
      <c r="H41" s="692"/>
      <c r="I41" s="692"/>
      <c r="J41" s="692" t="e">
        <f>#REF!</f>
        <v>#REF!</v>
      </c>
      <c r="K41" s="692"/>
      <c r="L41" s="692"/>
      <c r="M41" s="692"/>
      <c r="N41" s="692"/>
    </row>
    <row r="42" spans="1:18">
      <c r="M42" s="692"/>
      <c r="N42" s="336" t="e">
        <f>#REF!</f>
        <v>#REF!</v>
      </c>
    </row>
    <row r="43" spans="1:18">
      <c r="A43" s="1989" t="s">
        <v>310</v>
      </c>
      <c r="B43" s="694"/>
      <c r="C43" s="694"/>
      <c r="D43" s="1989" t="s">
        <v>96</v>
      </c>
      <c r="E43" s="694"/>
      <c r="F43" s="1989" t="s">
        <v>179</v>
      </c>
      <c r="G43" s="694"/>
      <c r="H43" s="2004" t="s">
        <v>107</v>
      </c>
      <c r="I43" s="2005"/>
      <c r="J43" s="2004" t="s">
        <v>394</v>
      </c>
      <c r="K43" s="2006"/>
      <c r="L43" s="2005"/>
      <c r="N43" s="1989" t="s">
        <v>100</v>
      </c>
    </row>
    <row r="44" spans="1:18">
      <c r="A44" s="1990"/>
      <c r="B44" s="695"/>
      <c r="C44" s="695"/>
      <c r="D44" s="1990"/>
      <c r="E44" s="695"/>
      <c r="F44" s="1990"/>
      <c r="G44" s="695"/>
      <c r="H44" s="696" t="s">
        <v>180</v>
      </c>
      <c r="I44" s="696" t="s">
        <v>319</v>
      </c>
      <c r="J44" s="696" t="s">
        <v>180</v>
      </c>
      <c r="K44" s="696"/>
      <c r="L44" s="696" t="s">
        <v>319</v>
      </c>
      <c r="M44" s="725" t="s">
        <v>109</v>
      </c>
      <c r="N44" s="1990"/>
    </row>
    <row r="45" spans="1:18">
      <c r="A45" s="697"/>
      <c r="B45" s="697"/>
      <c r="C45" s="697"/>
      <c r="D45" s="698" t="s">
        <v>446</v>
      </c>
      <c r="E45" s="698"/>
      <c r="F45" s="697"/>
      <c r="G45" s="697"/>
      <c r="H45" s="699"/>
      <c r="I45" s="699"/>
      <c r="J45" s="699"/>
      <c r="K45" s="699"/>
      <c r="L45" s="699"/>
      <c r="M45" s="696" t="s">
        <v>429</v>
      </c>
      <c r="N45" s="697"/>
    </row>
    <row r="46" spans="1:18">
      <c r="A46" s="700"/>
      <c r="B46" s="700"/>
      <c r="C46" s="700"/>
      <c r="D46" s="660" t="s">
        <v>463</v>
      </c>
      <c r="E46" s="660"/>
      <c r="F46" s="650">
        <v>4.75</v>
      </c>
      <c r="G46" s="650"/>
      <c r="H46" s="650">
        <v>364</v>
      </c>
      <c r="I46" s="650">
        <f t="shared" ref="I46:I52" si="0">$F46*H46</f>
        <v>1729</v>
      </c>
      <c r="J46" s="650">
        <v>91</v>
      </c>
      <c r="K46" s="650"/>
      <c r="L46" s="650">
        <f t="shared" ref="L46:L53" si="1">$F46*J46</f>
        <v>432.25</v>
      </c>
      <c r="M46" s="726" t="e">
        <f>#REF!</f>
        <v>#REF!</v>
      </c>
      <c r="N46" s="660"/>
    </row>
    <row r="47" spans="1:18">
      <c r="A47" s="700"/>
      <c r="B47" s="700"/>
      <c r="C47" s="700"/>
      <c r="D47" s="660" t="s">
        <v>464</v>
      </c>
      <c r="E47" s="701"/>
      <c r="F47" s="702"/>
      <c r="G47" s="702"/>
      <c r="H47" s="702"/>
      <c r="I47" s="702"/>
      <c r="J47" s="702"/>
      <c r="K47" s="702"/>
      <c r="L47" s="702"/>
      <c r="M47" s="650">
        <f t="shared" ref="M47:M53" si="2">I46+L46</f>
        <v>2161.25</v>
      </c>
      <c r="N47" s="660"/>
      <c r="P47" s="336" t="s">
        <v>465</v>
      </c>
      <c r="Q47" s="336" t="s">
        <v>466</v>
      </c>
    </row>
    <row r="48" spans="1:18">
      <c r="A48" s="700"/>
      <c r="B48" s="700"/>
      <c r="C48" s="700"/>
      <c r="D48" s="660" t="s">
        <v>467</v>
      </c>
      <c r="E48" s="660"/>
      <c r="F48" s="650">
        <v>14</v>
      </c>
      <c r="G48" s="650"/>
      <c r="H48" s="650">
        <v>793.15</v>
      </c>
      <c r="I48" s="650">
        <f t="shared" si="0"/>
        <v>11104.1</v>
      </c>
      <c r="J48" s="650">
        <v>0</v>
      </c>
      <c r="K48" s="650"/>
      <c r="L48" s="650">
        <f t="shared" si="1"/>
        <v>0</v>
      </c>
      <c r="M48" s="702"/>
      <c r="N48" s="660"/>
      <c r="P48" s="691">
        <v>42</v>
      </c>
      <c r="Q48" s="691">
        <f t="shared" ref="Q48:Q55" si="3">F48*P48</f>
        <v>588</v>
      </c>
      <c r="R48" s="691"/>
    </row>
    <row r="49" spans="1:18">
      <c r="A49" s="700"/>
      <c r="B49" s="700"/>
      <c r="C49" s="700"/>
      <c r="D49" s="660" t="s">
        <v>468</v>
      </c>
      <c r="E49" s="660"/>
      <c r="F49" s="650">
        <v>42</v>
      </c>
      <c r="G49" s="650"/>
      <c r="H49" s="650">
        <v>144</v>
      </c>
      <c r="I49" s="650">
        <f t="shared" si="0"/>
        <v>6048</v>
      </c>
      <c r="J49" s="650">
        <v>0</v>
      </c>
      <c r="K49" s="650"/>
      <c r="L49" s="650">
        <f t="shared" si="1"/>
        <v>0</v>
      </c>
      <c r="M49" s="650">
        <f t="shared" si="2"/>
        <v>11104.1</v>
      </c>
      <c r="N49" s="660"/>
      <c r="P49" s="691">
        <v>31</v>
      </c>
      <c r="Q49" s="691">
        <f t="shared" si="3"/>
        <v>1302</v>
      </c>
      <c r="R49" s="691"/>
    </row>
    <row r="50" spans="1:18">
      <c r="A50" s="703"/>
      <c r="B50" s="703"/>
      <c r="C50" s="703"/>
      <c r="D50" s="660" t="s">
        <v>469</v>
      </c>
      <c r="E50" s="660"/>
      <c r="F50" s="650">
        <v>22</v>
      </c>
      <c r="G50" s="650"/>
      <c r="H50" s="650">
        <v>160</v>
      </c>
      <c r="I50" s="650">
        <f t="shared" si="0"/>
        <v>3520</v>
      </c>
      <c r="J50" s="650">
        <v>0</v>
      </c>
      <c r="K50" s="650"/>
      <c r="L50" s="650">
        <f t="shared" si="1"/>
        <v>0</v>
      </c>
      <c r="M50" s="650">
        <f t="shared" si="2"/>
        <v>6048</v>
      </c>
      <c r="N50" s="701"/>
      <c r="P50" s="691">
        <v>30</v>
      </c>
      <c r="Q50" s="691">
        <f t="shared" si="3"/>
        <v>660</v>
      </c>
      <c r="R50" s="691"/>
    </row>
    <row r="51" spans="1:18">
      <c r="A51" s="703"/>
      <c r="B51" s="703"/>
      <c r="C51" s="703"/>
      <c r="D51" s="660" t="s">
        <v>470</v>
      </c>
      <c r="E51" s="660"/>
      <c r="F51" s="650">
        <v>750</v>
      </c>
      <c r="G51" s="650"/>
      <c r="H51" s="650">
        <v>0</v>
      </c>
      <c r="I51" s="650">
        <f t="shared" si="0"/>
        <v>0</v>
      </c>
      <c r="J51" s="650">
        <v>10</v>
      </c>
      <c r="K51" s="650"/>
      <c r="L51" s="650">
        <f t="shared" si="1"/>
        <v>7500</v>
      </c>
      <c r="M51" s="650">
        <f t="shared" si="2"/>
        <v>3520</v>
      </c>
      <c r="N51" s="701"/>
      <c r="P51" s="691">
        <v>25</v>
      </c>
      <c r="Q51" s="691">
        <f t="shared" si="3"/>
        <v>18750</v>
      </c>
      <c r="R51" s="691"/>
    </row>
    <row r="52" spans="1:18">
      <c r="A52" s="703"/>
      <c r="B52" s="703"/>
      <c r="C52" s="703"/>
      <c r="D52" s="660" t="s">
        <v>471</v>
      </c>
      <c r="E52" s="660"/>
      <c r="F52" s="650">
        <v>65</v>
      </c>
      <c r="G52" s="650"/>
      <c r="H52" s="650">
        <v>35</v>
      </c>
      <c r="I52" s="650">
        <f t="shared" si="0"/>
        <v>2275</v>
      </c>
      <c r="J52" s="650">
        <v>30</v>
      </c>
      <c r="K52" s="650"/>
      <c r="L52" s="650">
        <f t="shared" si="1"/>
        <v>1950</v>
      </c>
      <c r="M52" s="650">
        <f t="shared" si="2"/>
        <v>7500</v>
      </c>
      <c r="N52" s="701"/>
      <c r="P52" s="691">
        <v>25</v>
      </c>
      <c r="Q52" s="691">
        <f t="shared" si="3"/>
        <v>1625</v>
      </c>
      <c r="R52" s="691"/>
    </row>
    <row r="53" spans="1:18">
      <c r="A53" s="703"/>
      <c r="B53" s="703"/>
      <c r="C53" s="703"/>
      <c r="D53" s="660" t="s">
        <v>472</v>
      </c>
      <c r="E53" s="660"/>
      <c r="F53" s="650">
        <v>36</v>
      </c>
      <c r="G53" s="650"/>
      <c r="H53" s="704">
        <v>0</v>
      </c>
      <c r="I53" s="704">
        <v>0</v>
      </c>
      <c r="J53" s="650">
        <v>500</v>
      </c>
      <c r="K53" s="650"/>
      <c r="L53" s="650">
        <f t="shared" si="1"/>
        <v>18000</v>
      </c>
      <c r="M53" s="650">
        <f t="shared" si="2"/>
        <v>4225</v>
      </c>
      <c r="N53" s="727" t="s">
        <v>473</v>
      </c>
      <c r="P53" s="691">
        <v>33</v>
      </c>
      <c r="Q53" s="691">
        <f t="shared" si="3"/>
        <v>1188</v>
      </c>
      <c r="R53" s="691"/>
    </row>
    <row r="54" spans="1:18">
      <c r="A54" s="703"/>
      <c r="B54" s="703"/>
      <c r="C54" s="703"/>
      <c r="D54" s="660" t="s">
        <v>474</v>
      </c>
      <c r="E54" s="660"/>
      <c r="F54" s="650"/>
      <c r="G54" s="650"/>
      <c r="H54" s="650"/>
      <c r="I54" s="650"/>
      <c r="J54" s="650"/>
      <c r="K54" s="650"/>
      <c r="L54" s="650"/>
      <c r="M54" s="650">
        <f>SUM(L53)</f>
        <v>18000</v>
      </c>
      <c r="N54" s="701"/>
      <c r="P54" s="691">
        <v>24.36</v>
      </c>
      <c r="Q54" s="691">
        <f t="shared" si="3"/>
        <v>0</v>
      </c>
      <c r="R54" s="691"/>
    </row>
    <row r="55" spans="1:18">
      <c r="A55" s="703"/>
      <c r="B55" s="703"/>
      <c r="C55" s="703"/>
      <c r="D55" s="660" t="s">
        <v>475</v>
      </c>
      <c r="E55" s="660"/>
      <c r="F55" s="650">
        <v>14</v>
      </c>
      <c r="G55" s="650"/>
      <c r="H55" s="650">
        <v>1831.46</v>
      </c>
      <c r="I55" s="650">
        <f>SUM(H55*F55)</f>
        <v>25640.44</v>
      </c>
      <c r="J55" s="650">
        <v>306</v>
      </c>
      <c r="K55" s="650"/>
      <c r="L55" s="650">
        <f t="shared" ref="L55:L57" si="4">$F55*J55</f>
        <v>4284</v>
      </c>
      <c r="M55" s="650"/>
      <c r="N55" s="701"/>
      <c r="P55" s="691">
        <v>19.5</v>
      </c>
      <c r="Q55" s="691">
        <f t="shared" si="3"/>
        <v>273</v>
      </c>
      <c r="R55" s="691"/>
    </row>
    <row r="56" spans="1:18">
      <c r="A56" s="703"/>
      <c r="B56" s="703"/>
      <c r="C56" s="703"/>
      <c r="D56" s="660" t="s">
        <v>476</v>
      </c>
      <c r="E56" s="660"/>
      <c r="F56" s="650">
        <v>140</v>
      </c>
      <c r="G56" s="650"/>
      <c r="H56" s="650">
        <v>21</v>
      </c>
      <c r="I56" s="650">
        <f>SUM(H56*F56)</f>
        <v>2940</v>
      </c>
      <c r="J56" s="650">
        <v>5</v>
      </c>
      <c r="K56" s="650"/>
      <c r="L56" s="650">
        <f t="shared" si="4"/>
        <v>700</v>
      </c>
      <c r="M56" s="650">
        <f>I55+L55+SUM(L55+I55)</f>
        <v>59848.88</v>
      </c>
      <c r="N56" s="701"/>
      <c r="P56" s="691" t="s">
        <v>109</v>
      </c>
      <c r="Q56" s="691">
        <f>SUM(Q48:Q55)</f>
        <v>24386</v>
      </c>
      <c r="R56" s="691"/>
    </row>
    <row r="57" spans="1:18">
      <c r="A57" s="703"/>
      <c r="B57" s="703"/>
      <c r="C57" s="703"/>
      <c r="D57" s="660" t="s">
        <v>477</v>
      </c>
      <c r="E57" s="660"/>
      <c r="F57" s="650">
        <v>7</v>
      </c>
      <c r="G57" s="650"/>
      <c r="H57" s="336">
        <v>364.49</v>
      </c>
      <c r="I57" s="650">
        <f>SUM(I58*F57)</f>
        <v>0</v>
      </c>
      <c r="J57" s="650">
        <v>91</v>
      </c>
      <c r="K57" s="650"/>
      <c r="L57" s="650">
        <f t="shared" si="4"/>
        <v>637</v>
      </c>
      <c r="M57" s="650">
        <f>I56+L56+SUM(I56+L56)</f>
        <v>7280</v>
      </c>
      <c r="N57" s="701"/>
      <c r="P57" s="691"/>
      <c r="Q57" s="691"/>
      <c r="R57" s="691"/>
    </row>
    <row r="58" spans="1:18">
      <c r="A58" s="703"/>
      <c r="B58" s="703"/>
      <c r="C58" s="703"/>
      <c r="D58" s="660"/>
      <c r="E58" s="660"/>
      <c r="F58" s="650" t="s">
        <v>478</v>
      </c>
      <c r="G58" s="650"/>
      <c r="H58" s="650"/>
      <c r="I58" s="650"/>
      <c r="J58" s="650"/>
      <c r="K58" s="650"/>
      <c r="L58" s="650"/>
      <c r="M58" s="650">
        <f>I57+L57+SUM(I57+L57)</f>
        <v>1274</v>
      </c>
      <c r="N58" s="701"/>
      <c r="P58" s="336" t="s">
        <v>460</v>
      </c>
    </row>
    <row r="59" spans="1:18">
      <c r="A59" s="703"/>
      <c r="B59" s="703"/>
      <c r="C59" s="703"/>
      <c r="D59" s="660"/>
      <c r="E59" s="660"/>
      <c r="F59" s="650"/>
      <c r="G59" s="650"/>
      <c r="H59" s="650"/>
      <c r="I59" s="650"/>
      <c r="J59" s="650"/>
      <c r="K59" s="650"/>
      <c r="L59" s="650"/>
      <c r="M59" s="650"/>
      <c r="N59" s="701"/>
    </row>
    <row r="60" spans="1:18">
      <c r="A60" s="705"/>
      <c r="B60" s="705"/>
      <c r="C60" s="705"/>
      <c r="D60" s="660"/>
      <c r="E60" s="660"/>
      <c r="F60" s="650"/>
      <c r="G60" s="650"/>
      <c r="H60" s="650"/>
      <c r="I60" s="650"/>
      <c r="J60" s="650"/>
      <c r="K60" s="650"/>
      <c r="L60" s="650"/>
      <c r="M60" s="650"/>
      <c r="N60" s="705"/>
    </row>
    <row r="61" spans="1:18">
      <c r="A61" s="660"/>
      <c r="B61" s="660"/>
      <c r="C61" s="660"/>
      <c r="D61" s="660"/>
      <c r="E61" s="660"/>
      <c r="F61" s="650"/>
      <c r="G61" s="650"/>
      <c r="H61" s="650"/>
      <c r="I61" s="650"/>
      <c r="J61" s="650"/>
      <c r="K61" s="650"/>
      <c r="L61" s="650"/>
      <c r="M61" s="650"/>
      <c r="N61" s="728"/>
    </row>
    <row r="62" spans="1:18">
      <c r="A62" s="706"/>
      <c r="B62" s="706"/>
      <c r="C62" s="706"/>
      <c r="D62" s="707" t="s">
        <v>449</v>
      </c>
      <c r="E62" s="707"/>
      <c r="F62" s="706"/>
      <c r="G62" s="706"/>
      <c r="H62" s="708"/>
      <c r="I62" s="708"/>
      <c r="J62" s="708"/>
      <c r="K62" s="708"/>
      <c r="L62" s="708"/>
      <c r="M62" s="650"/>
      <c r="N62" s="706"/>
    </row>
    <row r="63" spans="1:18" ht="18.75" customHeight="1">
      <c r="D63" s="598"/>
      <c r="E63" s="598"/>
      <c r="H63" s="709"/>
      <c r="I63" s="709"/>
      <c r="J63" s="709"/>
      <c r="K63" s="709"/>
      <c r="L63" s="709"/>
      <c r="M63" s="729" t="e">
        <f>SUM(M46:M62)</f>
        <v>#REF!</v>
      </c>
    </row>
    <row r="64" spans="1:18" ht="18.75" customHeight="1">
      <c r="D64" s="598"/>
      <c r="E64" s="598"/>
      <c r="H64" s="709"/>
      <c r="I64" s="709"/>
      <c r="J64" s="709"/>
      <c r="K64" s="709"/>
      <c r="L64" s="709"/>
      <c r="M64" s="730"/>
    </row>
    <row r="65" spans="13:13">
      <c r="M65" s="730"/>
    </row>
  </sheetData>
  <mergeCells count="35">
    <mergeCell ref="N43:N44"/>
    <mergeCell ref="B11:E12"/>
    <mergeCell ref="A43:A44"/>
    <mergeCell ref="D43:D44"/>
    <mergeCell ref="F11:F12"/>
    <mergeCell ref="F43:F44"/>
    <mergeCell ref="G11:G12"/>
    <mergeCell ref="B28:M28"/>
    <mergeCell ref="B29:E29"/>
    <mergeCell ref="B30:E30"/>
    <mergeCell ref="H43:I43"/>
    <mergeCell ref="J43:L43"/>
    <mergeCell ref="J24:K24"/>
    <mergeCell ref="J25:K25"/>
    <mergeCell ref="B26:E26"/>
    <mergeCell ref="J26:K26"/>
    <mergeCell ref="B27:E27"/>
    <mergeCell ref="J27:K27"/>
    <mergeCell ref="B20:E20"/>
    <mergeCell ref="J20:K20"/>
    <mergeCell ref="J21:K21"/>
    <mergeCell ref="J22:K22"/>
    <mergeCell ref="J23:K23"/>
    <mergeCell ref="J15:K15"/>
    <mergeCell ref="J16:K16"/>
    <mergeCell ref="J17:K17"/>
    <mergeCell ref="J18:K18"/>
    <mergeCell ref="J19:K19"/>
    <mergeCell ref="A2:N2"/>
    <mergeCell ref="H11:I11"/>
    <mergeCell ref="J11:L11"/>
    <mergeCell ref="J12:K12"/>
    <mergeCell ref="J14:K14"/>
    <mergeCell ref="A11:A12"/>
    <mergeCell ref="N11:N12"/>
  </mergeCells>
  <pageMargins left="1.2992125984252001" right="0.70866141732283505" top="0.74803149606299202" bottom="0.74803149606299202" header="0.31496062992126" footer="0.31496062992126"/>
  <pageSetup paperSize="9" scale="8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  <pageSetUpPr fitToPage="1"/>
  </sheetPr>
  <dimension ref="A1:R69"/>
  <sheetViews>
    <sheetView view="pageBreakPreview" zoomScaleNormal="100" workbookViewId="0">
      <selection activeCell="H12" sqref="H12"/>
    </sheetView>
  </sheetViews>
  <sheetFormatPr defaultColWidth="8" defaultRowHeight="18"/>
  <cols>
    <col min="1" max="1" width="5.21875" style="336" customWidth="1"/>
    <col min="2" max="2" width="5.44140625" style="336" customWidth="1"/>
    <col min="3" max="3" width="9" style="336" customWidth="1"/>
    <col min="4" max="4" width="14.33203125" style="336" customWidth="1"/>
    <col min="5" max="5" width="12.109375" style="336" customWidth="1"/>
    <col min="6" max="6" width="8.6640625" style="336" customWidth="1"/>
    <col min="7" max="7" width="7.109375" style="336" customWidth="1"/>
    <col min="8" max="8" width="9.5546875" style="336" customWidth="1"/>
    <col min="9" max="9" width="9.21875" style="336" customWidth="1"/>
    <col min="10" max="10" width="8.109375" style="336" customWidth="1"/>
    <col min="11" max="11" width="6.21875" style="336" customWidth="1"/>
    <col min="12" max="12" width="13.77734375" style="336" customWidth="1"/>
    <col min="13" max="13" width="12.77734375" style="336" customWidth="1"/>
    <col min="14" max="14" width="12.21875" style="336" customWidth="1"/>
    <col min="15" max="15" width="10.109375" style="336" customWidth="1"/>
    <col min="16" max="16" width="8.44140625" style="336" customWidth="1"/>
    <col min="17" max="17" width="7.21875" style="336" customWidth="1"/>
    <col min="18" max="18" width="3.88671875" style="336" customWidth="1"/>
    <col min="19" max="19" width="9.21875" style="336"/>
    <col min="20" max="20" width="3.88671875" style="336" customWidth="1"/>
    <col min="21" max="21" width="6.44140625" style="336" customWidth="1"/>
    <col min="22" max="22" width="3.88671875" style="336" customWidth="1"/>
    <col min="23" max="16384" width="8" style="336"/>
  </cols>
  <sheetData>
    <row r="1" spans="1:14">
      <c r="N1" s="591" t="s">
        <v>514</v>
      </c>
    </row>
    <row r="2" spans="1:14">
      <c r="A2" s="1934" t="s">
        <v>504</v>
      </c>
      <c r="B2" s="1934"/>
      <c r="C2" s="1934"/>
      <c r="D2" s="1973"/>
      <c r="E2" s="1973"/>
      <c r="F2" s="1973"/>
      <c r="G2" s="1973"/>
      <c r="H2" s="1973"/>
      <c r="I2" s="1973"/>
      <c r="J2" s="1973"/>
      <c r="K2" s="1973"/>
      <c r="L2" s="1973"/>
      <c r="M2" s="1973"/>
      <c r="N2" s="1973"/>
    </row>
    <row r="3" spans="1:14">
      <c r="A3" s="592" t="s">
        <v>404</v>
      </c>
      <c r="D3" s="336" t="s">
        <v>423</v>
      </c>
      <c r="E3" s="597"/>
    </row>
    <row r="4" spans="1:14">
      <c r="A4" s="592" t="s">
        <v>405</v>
      </c>
      <c r="D4" s="336" t="str">
        <f>'ปร4 โครงสร้างหอถัง'!D3</f>
        <v xml:space="preserve">ก่อสร้างระบบประปาหมู่บ้านแบบบาดาลพร้อมหอถังสูง พร้อมเจาะบ่อบาดาล  </v>
      </c>
      <c r="K4" s="1237"/>
      <c r="L4" s="710"/>
    </row>
    <row r="5" spans="1:14">
      <c r="A5" s="592"/>
      <c r="D5" s="336" t="str">
        <f>'ปร4 โครงสร้างหอถัง'!D4</f>
        <v>และติดตั้งถังไฟเบอร์กล๊าส ขนาด 2.50 ลบ.ม. จำนวน 4 ถัง พร้อมติดตั้งระบบไฟฟ้า ก่อสร้างไฟฟ้าส่องส่ว่างระบบโซล่าเซลล์จำนวน 10 ต้น</v>
      </c>
      <c r="K5" s="1237"/>
      <c r="L5" s="710"/>
    </row>
    <row r="6" spans="1:14">
      <c r="A6" s="592" t="s">
        <v>406</v>
      </c>
      <c r="B6" s="597"/>
      <c r="C6" s="597"/>
      <c r="D6" s="597" t="str">
        <f>'ปร4 โครงสร้างหอถัง'!D5</f>
        <v>หมู่ที่ 4 บ้านโนนสมบูรณ์</v>
      </c>
      <c r="E6" s="597"/>
      <c r="J6" s="597"/>
      <c r="K6" s="597"/>
      <c r="L6" s="597"/>
      <c r="M6" s="597"/>
      <c r="N6" s="597"/>
    </row>
    <row r="7" spans="1:14">
      <c r="A7" s="592" t="s">
        <v>407</v>
      </c>
      <c r="D7" s="336" t="str">
        <f>'ปร4 โครงสร้างหอถัง'!D6</f>
        <v xml:space="preserve">อบต.ชด.สส. 10/2567      </v>
      </c>
      <c r="F7" s="672" t="s">
        <v>424</v>
      </c>
    </row>
    <row r="8" spans="1:14">
      <c r="A8" s="592" t="s">
        <v>408</v>
      </c>
      <c r="D8" s="336" t="s">
        <v>425</v>
      </c>
    </row>
    <row r="9" spans="1:14">
      <c r="A9" s="594" t="s">
        <v>515</v>
      </c>
      <c r="D9" s="336" t="str">
        <f>'ปร4 โครงสร้างหอถัง'!D8</f>
        <v xml:space="preserve">  1   เดือน เมษายน พ.ศ.2568</v>
      </c>
      <c r="I9" s="673" t="s">
        <v>1069</v>
      </c>
    </row>
    <row r="10" spans="1:14">
      <c r="A10" s="597"/>
      <c r="B10" s="597"/>
      <c r="C10" s="597"/>
      <c r="N10" s="336" t="s">
        <v>427</v>
      </c>
    </row>
    <row r="11" spans="1:14">
      <c r="A11" s="1979" t="s">
        <v>310</v>
      </c>
      <c r="B11" s="1991" t="s">
        <v>96</v>
      </c>
      <c r="C11" s="1992"/>
      <c r="D11" s="1992"/>
      <c r="E11" s="1992"/>
      <c r="F11" s="1995" t="s">
        <v>179</v>
      </c>
      <c r="G11" s="1991" t="s">
        <v>11</v>
      </c>
      <c r="H11" s="1974" t="s">
        <v>107</v>
      </c>
      <c r="I11" s="1975"/>
      <c r="J11" s="1974" t="s">
        <v>394</v>
      </c>
      <c r="K11" s="1976"/>
      <c r="L11" s="1975"/>
      <c r="M11" s="711" t="s">
        <v>109</v>
      </c>
      <c r="N11" s="1981" t="s">
        <v>100</v>
      </c>
    </row>
    <row r="12" spans="1:14">
      <c r="A12" s="1980"/>
      <c r="B12" s="1993"/>
      <c r="C12" s="1994"/>
      <c r="D12" s="1994"/>
      <c r="E12" s="1994"/>
      <c r="F12" s="1996"/>
      <c r="G12" s="1993"/>
      <c r="H12" s="316" t="s">
        <v>180</v>
      </c>
      <c r="I12" s="316" t="s">
        <v>428</v>
      </c>
      <c r="J12" s="1977" t="s">
        <v>180</v>
      </c>
      <c r="K12" s="1978"/>
      <c r="L12" s="316" t="s">
        <v>319</v>
      </c>
      <c r="M12" s="316" t="s">
        <v>429</v>
      </c>
      <c r="N12" s="1982"/>
    </row>
    <row r="13" spans="1:14">
      <c r="A13" s="623">
        <v>1</v>
      </c>
      <c r="B13" s="139" t="s">
        <v>516</v>
      </c>
      <c r="C13" s="674"/>
      <c r="D13" s="674"/>
      <c r="E13" s="675"/>
      <c r="F13" s="674"/>
      <c r="G13" s="676"/>
      <c r="H13" s="677"/>
      <c r="I13" s="677"/>
      <c r="J13" s="712"/>
      <c r="K13" s="713"/>
      <c r="L13" s="677"/>
      <c r="M13" s="677"/>
      <c r="N13" s="714"/>
    </row>
    <row r="14" spans="1:14">
      <c r="A14" s="623"/>
      <c r="B14" s="139" t="s">
        <v>517</v>
      </c>
      <c r="C14" s="674"/>
      <c r="D14" s="674"/>
      <c r="E14" s="675"/>
      <c r="F14" s="674"/>
      <c r="G14" s="676"/>
      <c r="H14" s="677"/>
      <c r="I14" s="677"/>
      <c r="J14" s="1958"/>
      <c r="K14" s="1959"/>
      <c r="L14" s="677"/>
      <c r="M14" s="677"/>
      <c r="N14" s="714"/>
    </row>
    <row r="15" spans="1:14">
      <c r="A15" s="1045"/>
      <c r="B15" s="1210" t="s">
        <v>518</v>
      </c>
      <c r="C15" s="1211"/>
      <c r="D15" s="678"/>
      <c r="E15" s="679"/>
      <c r="F15" s="1212">
        <f>คิดตอม่อโซล่า!E5</f>
        <v>2.16</v>
      </c>
      <c r="G15" s="1213" t="s">
        <v>184</v>
      </c>
      <c r="H15" s="1214" t="s">
        <v>102</v>
      </c>
      <c r="I15" s="604" t="s">
        <v>104</v>
      </c>
      <c r="J15" s="1983">
        <v>112</v>
      </c>
      <c r="K15" s="1983"/>
      <c r="L15" s="650">
        <f t="shared" ref="L15:L18" si="0">F15*J15</f>
        <v>241.92</v>
      </c>
      <c r="M15" s="650">
        <f>L15</f>
        <v>241.92</v>
      </c>
      <c r="N15" s="344"/>
    </row>
    <row r="16" spans="1:14">
      <c r="A16" s="1045"/>
      <c r="B16" s="1210" t="s">
        <v>519</v>
      </c>
      <c r="C16" s="1215"/>
      <c r="D16" s="678"/>
      <c r="E16" s="679"/>
      <c r="F16" s="1212">
        <f>คิดตอม่อโซล่า!E6</f>
        <v>0.18</v>
      </c>
      <c r="G16" s="1213" t="s">
        <v>184</v>
      </c>
      <c r="H16" s="328">
        <v>314.51</v>
      </c>
      <c r="I16" s="650">
        <f t="shared" ref="I16:I20" si="1">SUM(H16*F16)</f>
        <v>56.611800000000002</v>
      </c>
      <c r="J16" s="1983">
        <v>104</v>
      </c>
      <c r="K16" s="1983"/>
      <c r="L16" s="650">
        <f t="shared" si="0"/>
        <v>18.72</v>
      </c>
      <c r="M16" s="650">
        <f t="shared" ref="M16:M18" si="2">L16+I16</f>
        <v>75.331800000000001</v>
      </c>
      <c r="N16" s="344"/>
    </row>
    <row r="17" spans="1:15">
      <c r="A17" s="1045"/>
      <c r="B17" s="1210" t="s">
        <v>520</v>
      </c>
      <c r="C17" s="1216"/>
      <c r="D17" s="678"/>
      <c r="E17" s="679"/>
      <c r="F17" s="1212">
        <f>คิดตอม่อโซล่า!E7</f>
        <v>0.18</v>
      </c>
      <c r="G17" s="1213" t="s">
        <v>184</v>
      </c>
      <c r="H17" s="328">
        <f>'[71]3.สืบท่อโฟมลูกรังทรายเหล็กป้าย'!G18</f>
        <v>1913.9</v>
      </c>
      <c r="I17" s="650">
        <v>426</v>
      </c>
      <c r="J17" s="1983">
        <v>426</v>
      </c>
      <c r="K17" s="1983"/>
      <c r="L17" s="650">
        <f t="shared" si="0"/>
        <v>76.680000000000007</v>
      </c>
      <c r="M17" s="650">
        <f t="shared" si="2"/>
        <v>502.68</v>
      </c>
      <c r="N17" s="344"/>
    </row>
    <row r="18" spans="1:15">
      <c r="A18" s="1045"/>
      <c r="B18" s="1046" t="s">
        <v>521</v>
      </c>
      <c r="C18" s="1047"/>
      <c r="D18" s="678"/>
      <c r="E18" s="679"/>
      <c r="F18" s="1212">
        <f>คิดตอม่อโซล่า!E13</f>
        <v>3.3250000000000002</v>
      </c>
      <c r="G18" s="1213" t="s">
        <v>184</v>
      </c>
      <c r="H18" s="328">
        <v>2336.4499999999998</v>
      </c>
      <c r="I18" s="650">
        <f t="shared" si="1"/>
        <v>7768.69625</v>
      </c>
      <c r="J18" s="1983">
        <v>419</v>
      </c>
      <c r="K18" s="1983"/>
      <c r="L18" s="650">
        <f t="shared" si="0"/>
        <v>1393.175</v>
      </c>
      <c r="M18" s="650">
        <f t="shared" si="2"/>
        <v>9161.8712500000001</v>
      </c>
      <c r="N18" s="344"/>
    </row>
    <row r="19" spans="1:15" customFormat="1">
      <c r="A19" s="1045"/>
      <c r="B19" s="1046" t="s">
        <v>522</v>
      </c>
      <c r="C19" s="1197"/>
      <c r="D19" s="678"/>
      <c r="E19" s="679"/>
      <c r="F19" s="1212"/>
      <c r="G19" s="1217"/>
      <c r="H19" s="328"/>
      <c r="I19" s="650"/>
      <c r="J19" s="1983"/>
      <c r="K19" s="1983"/>
      <c r="L19" s="650"/>
      <c r="M19" s="650"/>
      <c r="N19" s="344"/>
    </row>
    <row r="20" spans="1:15">
      <c r="A20" s="82"/>
      <c r="B20" s="1198" t="s">
        <v>523</v>
      </c>
      <c r="C20" s="1187"/>
      <c r="D20" s="678"/>
      <c r="E20" s="679"/>
      <c r="F20" s="1218">
        <f>คิดตอม่อโซล่า!E19</f>
        <v>13.3</v>
      </c>
      <c r="G20" s="680" t="s">
        <v>83</v>
      </c>
      <c r="H20" s="324">
        <v>276</v>
      </c>
      <c r="I20" s="650">
        <f t="shared" si="1"/>
        <v>3670.8</v>
      </c>
      <c r="J20" s="1983">
        <v>0</v>
      </c>
      <c r="K20" s="1983"/>
      <c r="L20" s="650">
        <f t="shared" ref="L20:L31" si="3">F20*J20</f>
        <v>0</v>
      </c>
      <c r="M20" s="650">
        <f t="shared" ref="M20:M31" si="4">L20+I20</f>
        <v>3670.8</v>
      </c>
      <c r="N20" s="344"/>
    </row>
    <row r="21" spans="1:15">
      <c r="A21" s="1045"/>
      <c r="B21" s="1200" t="s">
        <v>524</v>
      </c>
      <c r="C21" s="678"/>
      <c r="D21" s="678"/>
      <c r="E21" s="679"/>
      <c r="F21" s="1218"/>
      <c r="G21" s="680"/>
      <c r="H21" s="327"/>
      <c r="I21" s="650"/>
      <c r="J21" s="1983"/>
      <c r="K21" s="1983"/>
      <c r="L21" s="650"/>
      <c r="M21" s="650"/>
      <c r="N21" s="344"/>
    </row>
    <row r="22" spans="1:15">
      <c r="A22" s="1045"/>
      <c r="B22" s="1210" t="s">
        <v>525</v>
      </c>
      <c r="C22" s="678"/>
      <c r="D22" s="678"/>
      <c r="E22" s="679"/>
      <c r="F22" s="1218">
        <f>คิดตอม่อโซล่า!L30/1000</f>
        <v>6.216E-2</v>
      </c>
      <c r="G22" s="1199" t="s">
        <v>191</v>
      </c>
      <c r="H22" s="328">
        <f>'[71]2.ข้อมูลวัสดุ'!D9+136.36</f>
        <v>21393.56</v>
      </c>
      <c r="I22" s="650">
        <f t="shared" ref="I22:I26" si="5">SUM(H22*F22)</f>
        <v>1329.8236896000001</v>
      </c>
      <c r="J22" s="1983">
        <v>3600</v>
      </c>
      <c r="K22" s="1983"/>
      <c r="L22" s="650">
        <f t="shared" si="3"/>
        <v>223.77600000000001</v>
      </c>
      <c r="M22" s="650">
        <f t="shared" si="4"/>
        <v>1553.5996896000001</v>
      </c>
      <c r="N22" s="344"/>
    </row>
    <row r="23" spans="1:15">
      <c r="A23" s="1045"/>
      <c r="B23" s="1210" t="s">
        <v>526</v>
      </c>
      <c r="C23" s="678"/>
      <c r="D23" s="678"/>
      <c r="E23" s="679"/>
      <c r="F23" s="1218">
        <f>คิดตอม่อโซล่า!L31/1000</f>
        <v>2.1956E-2</v>
      </c>
      <c r="G23" s="1199" t="s">
        <v>191</v>
      </c>
      <c r="H23" s="328">
        <f>'[71]2.ข้อมูลวัสดุ'!D8+136.36</f>
        <v>21768.33</v>
      </c>
      <c r="I23" s="650">
        <f t="shared" si="5"/>
        <v>477.94545348000003</v>
      </c>
      <c r="J23" s="1983">
        <v>4400</v>
      </c>
      <c r="K23" s="1983"/>
      <c r="L23" s="650">
        <f t="shared" si="3"/>
        <v>96.606399999999994</v>
      </c>
      <c r="M23" s="650">
        <f t="shared" si="4"/>
        <v>574.55185347999998</v>
      </c>
      <c r="N23" s="344"/>
      <c r="O23" s="722">
        <f>'[71]ปร6 (อาร์ม)'!G17</f>
        <v>2006000</v>
      </c>
    </row>
    <row r="24" spans="1:15">
      <c r="A24" s="1045"/>
      <c r="B24" s="1210" t="s">
        <v>527</v>
      </c>
      <c r="C24" s="678"/>
      <c r="D24" s="678"/>
      <c r="E24" s="679"/>
      <c r="F24" s="1218">
        <v>0</v>
      </c>
      <c r="G24" s="1199" t="s">
        <v>191</v>
      </c>
      <c r="H24" s="328">
        <f>'[71]2.ข้อมูลวัสดุ'!D7+136.36</f>
        <v>22861.360000000001</v>
      </c>
      <c r="I24" s="650">
        <f t="shared" si="5"/>
        <v>0</v>
      </c>
      <c r="J24" s="1983">
        <v>4400</v>
      </c>
      <c r="K24" s="1983"/>
      <c r="L24" s="650">
        <f t="shared" si="3"/>
        <v>0</v>
      </c>
      <c r="M24" s="650">
        <f t="shared" si="4"/>
        <v>0</v>
      </c>
      <c r="N24" s="344"/>
    </row>
    <row r="25" spans="1:15">
      <c r="A25" s="1045"/>
      <c r="B25" s="1210" t="s">
        <v>528</v>
      </c>
      <c r="C25" s="678"/>
      <c r="D25" s="678"/>
      <c r="E25" s="679"/>
      <c r="F25" s="1218">
        <f>SUM(F22:F24)*(0.2)*1000</f>
        <v>16.8232</v>
      </c>
      <c r="G25" s="1219" t="s">
        <v>81</v>
      </c>
      <c r="H25" s="328">
        <v>51.4</v>
      </c>
      <c r="I25" s="650">
        <f t="shared" si="5"/>
        <v>864.71248000000003</v>
      </c>
      <c r="J25" s="1983">
        <v>0</v>
      </c>
      <c r="K25" s="1983"/>
      <c r="L25" s="650">
        <f t="shared" si="3"/>
        <v>0</v>
      </c>
      <c r="M25" s="650">
        <f t="shared" si="4"/>
        <v>864.71248000000003</v>
      </c>
      <c r="N25" s="344"/>
    </row>
    <row r="26" spans="1:15">
      <c r="A26" s="82"/>
      <c r="B26" s="77" t="s">
        <v>529</v>
      </c>
      <c r="C26" s="678"/>
      <c r="D26" s="678"/>
      <c r="E26" s="679"/>
      <c r="F26" s="1218">
        <f>คิดตอม่อโซล่า!C2</f>
        <v>10</v>
      </c>
      <c r="G26" s="1219" t="s">
        <v>212</v>
      </c>
      <c r="H26" s="328">
        <v>353</v>
      </c>
      <c r="I26" s="650">
        <f t="shared" si="5"/>
        <v>3530</v>
      </c>
      <c r="J26" s="1983">
        <f>9*30*30*0.000785*10</f>
        <v>63.585000000000001</v>
      </c>
      <c r="K26" s="1983"/>
      <c r="L26" s="650">
        <f t="shared" si="3"/>
        <v>635.85</v>
      </c>
      <c r="M26" s="650">
        <f t="shared" si="4"/>
        <v>4165.8500000000004</v>
      </c>
      <c r="N26" s="344"/>
      <c r="O26" s="336" t="s">
        <v>530</v>
      </c>
    </row>
    <row r="27" spans="1:15">
      <c r="A27" s="82"/>
      <c r="B27" s="77" t="s">
        <v>531</v>
      </c>
      <c r="C27" s="678"/>
      <c r="D27" s="678"/>
      <c r="E27" s="679"/>
      <c r="F27" s="1218">
        <f>K4</f>
        <v>0</v>
      </c>
      <c r="G27" s="1219" t="s">
        <v>212</v>
      </c>
      <c r="H27" s="650">
        <v>0</v>
      </c>
      <c r="I27" s="650">
        <v>0</v>
      </c>
      <c r="J27" s="1983">
        <v>40</v>
      </c>
      <c r="K27" s="1983"/>
      <c r="L27" s="650">
        <f t="shared" si="3"/>
        <v>0</v>
      </c>
      <c r="M27" s="650">
        <f t="shared" si="4"/>
        <v>0</v>
      </c>
      <c r="N27" s="344"/>
      <c r="O27" s="336" t="s">
        <v>532</v>
      </c>
    </row>
    <row r="28" spans="1:15">
      <c r="A28" s="82"/>
      <c r="B28" s="77" t="s">
        <v>533</v>
      </c>
      <c r="C28" s="678"/>
      <c r="D28" s="678"/>
      <c r="E28" s="679"/>
      <c r="F28" s="1218">
        <f>F26*4</f>
        <v>40</v>
      </c>
      <c r="G28" s="1219" t="s">
        <v>212</v>
      </c>
      <c r="H28" s="328">
        <v>44</v>
      </c>
      <c r="I28" s="650">
        <f t="shared" ref="I28:I31" si="6">SUM(H28*F28)</f>
        <v>1760</v>
      </c>
      <c r="J28" s="1983">
        <f>9*(1/2*(5+10)*15)*0.000785*10</f>
        <v>7.9481250000000001</v>
      </c>
      <c r="K28" s="1983"/>
      <c r="L28" s="650">
        <f t="shared" si="3"/>
        <v>317.92500000000001</v>
      </c>
      <c r="M28" s="650">
        <f t="shared" si="4"/>
        <v>2077.9250000000002</v>
      </c>
      <c r="N28" s="344"/>
      <c r="O28" s="336" t="s">
        <v>534</v>
      </c>
    </row>
    <row r="29" spans="1:15">
      <c r="A29" s="82"/>
      <c r="B29" s="77" t="s">
        <v>535</v>
      </c>
      <c r="C29" s="678"/>
      <c r="D29" s="678"/>
      <c r="E29" s="679"/>
      <c r="F29" s="1218">
        <f>F26*4</f>
        <v>40</v>
      </c>
      <c r="G29" s="1219" t="s">
        <v>447</v>
      </c>
      <c r="H29" s="328">
        <v>97</v>
      </c>
      <c r="I29" s="650">
        <f t="shared" si="6"/>
        <v>3880</v>
      </c>
      <c r="J29" s="1988">
        <v>0</v>
      </c>
      <c r="K29" s="1988"/>
      <c r="L29" s="650">
        <f t="shared" si="3"/>
        <v>0</v>
      </c>
      <c r="M29" s="650">
        <f t="shared" si="4"/>
        <v>3880</v>
      </c>
      <c r="N29" s="344"/>
      <c r="O29" s="336" t="s">
        <v>536</v>
      </c>
    </row>
    <row r="30" spans="1:15">
      <c r="A30" s="82"/>
      <c r="B30" s="77" t="s">
        <v>537</v>
      </c>
      <c r="C30" s="678"/>
      <c r="D30" s="678"/>
      <c r="E30" s="679"/>
      <c r="F30" s="1220">
        <f>F26</f>
        <v>10</v>
      </c>
      <c r="G30" s="1219" t="s">
        <v>212</v>
      </c>
      <c r="H30" s="1221">
        <v>110</v>
      </c>
      <c r="I30" s="650">
        <f t="shared" si="6"/>
        <v>1100</v>
      </c>
      <c r="J30" s="1983">
        <v>30</v>
      </c>
      <c r="K30" s="1983"/>
      <c r="L30" s="650">
        <f t="shared" si="3"/>
        <v>300</v>
      </c>
      <c r="M30" s="650">
        <f t="shared" si="4"/>
        <v>1400</v>
      </c>
      <c r="N30" s="344"/>
    </row>
    <row r="31" spans="1:15">
      <c r="A31" s="1222"/>
      <c r="B31" s="77" t="s">
        <v>538</v>
      </c>
      <c r="C31" s="1223"/>
      <c r="D31" s="1223"/>
      <c r="E31" s="1224"/>
      <c r="F31" s="1220">
        <f>F26</f>
        <v>10</v>
      </c>
      <c r="G31" s="1219" t="s">
        <v>447</v>
      </c>
      <c r="H31" s="1221">
        <v>26</v>
      </c>
      <c r="I31" s="650">
        <f t="shared" si="6"/>
        <v>260</v>
      </c>
      <c r="J31" s="1983">
        <v>8</v>
      </c>
      <c r="K31" s="1983"/>
      <c r="L31" s="650">
        <f t="shared" si="3"/>
        <v>80</v>
      </c>
      <c r="M31" s="650">
        <f t="shared" si="4"/>
        <v>340</v>
      </c>
      <c r="N31" s="1238"/>
      <c r="O31" s="337">
        <f>119404.48*1.1</f>
        <v>131344.92800000001</v>
      </c>
    </row>
    <row r="32" spans="1:15">
      <c r="A32" s="1204"/>
      <c r="B32" s="1225" t="s">
        <v>539</v>
      </c>
      <c r="C32" s="1051"/>
      <c r="D32" s="1051"/>
      <c r="E32" s="1226"/>
      <c r="F32" s="1185"/>
      <c r="G32" s="1227"/>
      <c r="H32" s="1228"/>
      <c r="I32" s="1054"/>
      <c r="J32" s="2010"/>
      <c r="K32" s="2011"/>
      <c r="L32" s="1054"/>
      <c r="M32" s="1239"/>
      <c r="N32" s="1240"/>
    </row>
    <row r="33" spans="1:14">
      <c r="A33" s="1229"/>
      <c r="B33" s="620"/>
      <c r="C33" s="1009"/>
      <c r="D33" s="1009"/>
      <c r="E33" s="1009"/>
      <c r="F33" s="1230"/>
      <c r="G33" s="1231"/>
      <c r="H33" s="1232"/>
      <c r="I33" s="1241"/>
      <c r="J33" s="1242" t="s">
        <v>513</v>
      </c>
      <c r="K33" s="1243"/>
      <c r="L33" s="1244"/>
      <c r="M33" s="720">
        <f>SUM(M15:M31)</f>
        <v>28509.242073079997</v>
      </c>
      <c r="N33" s="991" t="s">
        <v>445</v>
      </c>
    </row>
    <row r="34" spans="1:14">
      <c r="A34" s="1233"/>
      <c r="B34" s="1234"/>
      <c r="C34" s="1051"/>
      <c r="D34" s="1051"/>
      <c r="E34" s="1051"/>
      <c r="F34" s="1185"/>
      <c r="G34" s="1235"/>
      <c r="H34" s="1236"/>
      <c r="I34" s="1099"/>
      <c r="J34" s="1099"/>
      <c r="K34" s="1099"/>
      <c r="L34" s="1099"/>
      <c r="M34" s="1245" t="str">
        <f>"("&amp;BAHTTEXT(M33)&amp;")"</f>
        <v>(สองหมื่นแปดพันห้าร้อยเก้าบาทยี่สิบสี่สตางค์)</v>
      </c>
      <c r="N34" s="1246"/>
    </row>
    <row r="35" spans="1:14">
      <c r="A35" s="687"/>
      <c r="B35" s="690"/>
      <c r="C35" s="690"/>
      <c r="F35" s="688"/>
      <c r="G35" s="691"/>
      <c r="H35" s="688"/>
      <c r="I35" s="688"/>
      <c r="J35" s="688"/>
      <c r="K35" s="688"/>
      <c r="L35" s="688"/>
      <c r="M35" s="688"/>
    </row>
    <row r="36" spans="1:14">
      <c r="M36" s="688"/>
      <c r="N36" s="596"/>
    </row>
    <row r="37" spans="1:14">
      <c r="N37" s="596"/>
    </row>
    <row r="38" spans="1:14">
      <c r="N38" s="596"/>
    </row>
    <row r="39" spans="1:14">
      <c r="N39" s="596"/>
    </row>
    <row r="40" spans="1:14">
      <c r="N40" s="596"/>
    </row>
    <row r="41" spans="1:14">
      <c r="A41" s="336" t="e">
        <f>#REF!</f>
        <v>#REF!</v>
      </c>
      <c r="M41" s="596" t="s">
        <v>461</v>
      </c>
      <c r="N41" s="723"/>
    </row>
    <row r="42" spans="1:14">
      <c r="A42" s="692" t="e">
        <f>#REF!</f>
        <v>#REF!</v>
      </c>
      <c r="B42" s="692"/>
      <c r="C42" s="692"/>
      <c r="D42" s="692"/>
      <c r="E42" s="692"/>
      <c r="F42" s="692"/>
      <c r="G42" s="692"/>
      <c r="H42" s="692"/>
      <c r="I42" s="692"/>
      <c r="J42" s="692"/>
      <c r="K42" s="692"/>
      <c r="L42" s="692"/>
      <c r="N42" s="724"/>
    </row>
    <row r="43" spans="1:14">
      <c r="A43" s="692" t="e">
        <f>#REF!</f>
        <v>#REF!</v>
      </c>
      <c r="B43" s="692"/>
      <c r="C43" s="692"/>
      <c r="D43" s="692" t="s">
        <v>462</v>
      </c>
      <c r="E43" s="692"/>
      <c r="F43" s="692"/>
      <c r="G43" s="692"/>
      <c r="H43" s="692"/>
      <c r="I43" s="692"/>
      <c r="J43" s="692"/>
      <c r="K43" s="692"/>
      <c r="L43" s="692"/>
      <c r="M43" s="692"/>
      <c r="N43" s="724"/>
    </row>
    <row r="44" spans="1:14">
      <c r="A44" s="692" t="e">
        <f>#REF!</f>
        <v>#REF!</v>
      </c>
      <c r="B44" s="692"/>
      <c r="C44" s="692"/>
      <c r="D44" s="692"/>
      <c r="E44" s="692"/>
      <c r="F44" s="692"/>
      <c r="G44" s="692"/>
      <c r="H44" s="693"/>
      <c r="I44" s="692"/>
      <c r="J44" s="692"/>
      <c r="K44" s="692"/>
      <c r="L44" s="692"/>
      <c r="M44" s="692"/>
      <c r="N44" s="692"/>
    </row>
    <row r="45" spans="1:14">
      <c r="A45" s="692" t="str">
        <f>A9</f>
        <v xml:space="preserve">กำหนดราคากลางวันที่      </v>
      </c>
      <c r="B45" s="692"/>
      <c r="C45" s="692"/>
      <c r="D45" s="692"/>
      <c r="E45" s="692"/>
      <c r="F45" s="692"/>
      <c r="G45" s="692"/>
      <c r="H45" s="692"/>
      <c r="I45" s="692"/>
      <c r="J45" s="692" t="e">
        <f>#REF!</f>
        <v>#REF!</v>
      </c>
      <c r="K45" s="692"/>
      <c r="L45" s="692"/>
      <c r="M45" s="692"/>
      <c r="N45" s="692"/>
    </row>
    <row r="46" spans="1:14">
      <c r="M46" s="692"/>
      <c r="N46" s="336" t="e">
        <f>#REF!</f>
        <v>#REF!</v>
      </c>
    </row>
    <row r="47" spans="1:14">
      <c r="A47" s="1989" t="s">
        <v>310</v>
      </c>
      <c r="B47" s="694"/>
      <c r="C47" s="694"/>
      <c r="D47" s="1989" t="s">
        <v>96</v>
      </c>
      <c r="E47" s="694"/>
      <c r="F47" s="1989" t="s">
        <v>179</v>
      </c>
      <c r="G47" s="694"/>
      <c r="H47" s="2004" t="s">
        <v>107</v>
      </c>
      <c r="I47" s="2005"/>
      <c r="J47" s="2004" t="s">
        <v>394</v>
      </c>
      <c r="K47" s="2006"/>
      <c r="L47" s="2005"/>
      <c r="N47" s="1989" t="s">
        <v>100</v>
      </c>
    </row>
    <row r="48" spans="1:14">
      <c r="A48" s="1990"/>
      <c r="B48" s="695"/>
      <c r="C48" s="695"/>
      <c r="D48" s="1990"/>
      <c r="E48" s="695"/>
      <c r="F48" s="1990"/>
      <c r="G48" s="695"/>
      <c r="H48" s="696" t="s">
        <v>180</v>
      </c>
      <c r="I48" s="696" t="s">
        <v>319</v>
      </c>
      <c r="J48" s="696" t="s">
        <v>180</v>
      </c>
      <c r="K48" s="696"/>
      <c r="L48" s="696" t="s">
        <v>319</v>
      </c>
      <c r="M48" s="725" t="s">
        <v>109</v>
      </c>
      <c r="N48" s="1990"/>
    </row>
    <row r="49" spans="1:18">
      <c r="A49" s="697"/>
      <c r="B49" s="697"/>
      <c r="C49" s="697"/>
      <c r="D49" s="698" t="s">
        <v>446</v>
      </c>
      <c r="E49" s="698"/>
      <c r="F49" s="697"/>
      <c r="G49" s="697"/>
      <c r="H49" s="699"/>
      <c r="I49" s="699"/>
      <c r="J49" s="699"/>
      <c r="K49" s="699"/>
      <c r="L49" s="699"/>
      <c r="M49" s="696" t="s">
        <v>429</v>
      </c>
      <c r="N49" s="697"/>
    </row>
    <row r="50" spans="1:18">
      <c r="A50" s="700"/>
      <c r="B50" s="700"/>
      <c r="C50" s="700"/>
      <c r="D50" s="660" t="s">
        <v>463</v>
      </c>
      <c r="E50" s="660"/>
      <c r="F50" s="650">
        <v>4.75</v>
      </c>
      <c r="G50" s="650"/>
      <c r="H50" s="650">
        <v>364</v>
      </c>
      <c r="I50" s="650">
        <f t="shared" ref="I50:I56" si="7">$F50*H50</f>
        <v>1729</v>
      </c>
      <c r="J50" s="650">
        <v>91</v>
      </c>
      <c r="K50" s="650"/>
      <c r="L50" s="650">
        <f t="shared" ref="L50:L57" si="8">$F50*J50</f>
        <v>432.25</v>
      </c>
      <c r="M50" s="726" t="e">
        <f>#REF!</f>
        <v>#REF!</v>
      </c>
      <c r="N50" s="660"/>
    </row>
    <row r="51" spans="1:18">
      <c r="A51" s="700"/>
      <c r="B51" s="700"/>
      <c r="C51" s="700"/>
      <c r="D51" s="660" t="s">
        <v>464</v>
      </c>
      <c r="E51" s="701"/>
      <c r="F51" s="702"/>
      <c r="G51" s="702"/>
      <c r="H51" s="702"/>
      <c r="I51" s="702"/>
      <c r="J51" s="702"/>
      <c r="K51" s="702"/>
      <c r="L51" s="702"/>
      <c r="M51" s="650">
        <f t="shared" ref="M51:M57" si="9">I50+L50</f>
        <v>2161.25</v>
      </c>
      <c r="N51" s="660"/>
      <c r="P51" s="336" t="s">
        <v>465</v>
      </c>
      <c r="Q51" s="336" t="s">
        <v>466</v>
      </c>
    </row>
    <row r="52" spans="1:18">
      <c r="A52" s="700"/>
      <c r="B52" s="700"/>
      <c r="C52" s="700"/>
      <c r="D52" s="660" t="s">
        <v>467</v>
      </c>
      <c r="E52" s="660"/>
      <c r="F52" s="650">
        <v>14</v>
      </c>
      <c r="G52" s="650"/>
      <c r="H52" s="650">
        <v>793.15</v>
      </c>
      <c r="I52" s="650">
        <f t="shared" si="7"/>
        <v>11104.1</v>
      </c>
      <c r="J52" s="650">
        <v>0</v>
      </c>
      <c r="K52" s="650"/>
      <c r="L52" s="650">
        <f t="shared" si="8"/>
        <v>0</v>
      </c>
      <c r="M52" s="702"/>
      <c r="N52" s="660"/>
      <c r="P52" s="691">
        <v>42</v>
      </c>
      <c r="Q52" s="691">
        <f t="shared" ref="Q52:Q59" si="10">F52*P52</f>
        <v>588</v>
      </c>
      <c r="R52" s="691"/>
    </row>
    <row r="53" spans="1:18">
      <c r="A53" s="700"/>
      <c r="B53" s="700"/>
      <c r="C53" s="700"/>
      <c r="D53" s="660" t="s">
        <v>468</v>
      </c>
      <c r="E53" s="660"/>
      <c r="F53" s="650">
        <v>42</v>
      </c>
      <c r="G53" s="650"/>
      <c r="H53" s="650">
        <v>144</v>
      </c>
      <c r="I53" s="650">
        <f t="shared" si="7"/>
        <v>6048</v>
      </c>
      <c r="J53" s="650">
        <v>0</v>
      </c>
      <c r="K53" s="650"/>
      <c r="L53" s="650">
        <f t="shared" si="8"/>
        <v>0</v>
      </c>
      <c r="M53" s="650">
        <f t="shared" si="9"/>
        <v>11104.1</v>
      </c>
      <c r="N53" s="660"/>
      <c r="P53" s="691">
        <v>31</v>
      </c>
      <c r="Q53" s="691">
        <f t="shared" si="10"/>
        <v>1302</v>
      </c>
      <c r="R53" s="691"/>
    </row>
    <row r="54" spans="1:18">
      <c r="A54" s="703"/>
      <c r="B54" s="703"/>
      <c r="C54" s="703"/>
      <c r="D54" s="660" t="s">
        <v>469</v>
      </c>
      <c r="E54" s="660"/>
      <c r="F54" s="650">
        <v>22</v>
      </c>
      <c r="G54" s="650"/>
      <c r="H54" s="650">
        <v>160</v>
      </c>
      <c r="I54" s="650">
        <f t="shared" si="7"/>
        <v>3520</v>
      </c>
      <c r="J54" s="650">
        <v>0</v>
      </c>
      <c r="K54" s="650"/>
      <c r="L54" s="650">
        <f t="shared" si="8"/>
        <v>0</v>
      </c>
      <c r="M54" s="650">
        <f t="shared" si="9"/>
        <v>6048</v>
      </c>
      <c r="N54" s="701"/>
      <c r="P54" s="691">
        <v>30</v>
      </c>
      <c r="Q54" s="691">
        <f t="shared" si="10"/>
        <v>660</v>
      </c>
      <c r="R54" s="691"/>
    </row>
    <row r="55" spans="1:18">
      <c r="A55" s="703"/>
      <c r="B55" s="703"/>
      <c r="C55" s="703"/>
      <c r="D55" s="660" t="s">
        <v>470</v>
      </c>
      <c r="E55" s="660"/>
      <c r="F55" s="650">
        <v>750</v>
      </c>
      <c r="G55" s="650"/>
      <c r="H55" s="650">
        <v>0</v>
      </c>
      <c r="I55" s="650">
        <f t="shared" si="7"/>
        <v>0</v>
      </c>
      <c r="J55" s="650">
        <v>10</v>
      </c>
      <c r="K55" s="650"/>
      <c r="L55" s="650">
        <f t="shared" si="8"/>
        <v>7500</v>
      </c>
      <c r="M55" s="650">
        <f t="shared" si="9"/>
        <v>3520</v>
      </c>
      <c r="N55" s="701"/>
      <c r="P55" s="691">
        <v>25</v>
      </c>
      <c r="Q55" s="691">
        <f t="shared" si="10"/>
        <v>18750</v>
      </c>
      <c r="R55" s="691"/>
    </row>
    <row r="56" spans="1:18">
      <c r="A56" s="703"/>
      <c r="B56" s="703"/>
      <c r="C56" s="703"/>
      <c r="D56" s="660" t="s">
        <v>471</v>
      </c>
      <c r="E56" s="660"/>
      <c r="F56" s="650">
        <v>65</v>
      </c>
      <c r="G56" s="650"/>
      <c r="H56" s="650">
        <v>35</v>
      </c>
      <c r="I56" s="650">
        <f t="shared" si="7"/>
        <v>2275</v>
      </c>
      <c r="J56" s="650">
        <v>30</v>
      </c>
      <c r="K56" s="650"/>
      <c r="L56" s="650">
        <f t="shared" si="8"/>
        <v>1950</v>
      </c>
      <c r="M56" s="650">
        <f t="shared" si="9"/>
        <v>7500</v>
      </c>
      <c r="N56" s="701"/>
      <c r="P56" s="691">
        <v>25</v>
      </c>
      <c r="Q56" s="691">
        <f t="shared" si="10"/>
        <v>1625</v>
      </c>
      <c r="R56" s="691"/>
    </row>
    <row r="57" spans="1:18">
      <c r="A57" s="703"/>
      <c r="B57" s="703"/>
      <c r="C57" s="703"/>
      <c r="D57" s="660" t="s">
        <v>472</v>
      </c>
      <c r="E57" s="660"/>
      <c r="F57" s="650">
        <v>36</v>
      </c>
      <c r="G57" s="650"/>
      <c r="H57" s="704">
        <v>0</v>
      </c>
      <c r="I57" s="704">
        <v>0</v>
      </c>
      <c r="J57" s="650">
        <v>500</v>
      </c>
      <c r="K57" s="650"/>
      <c r="L57" s="650">
        <f t="shared" si="8"/>
        <v>18000</v>
      </c>
      <c r="M57" s="650">
        <f t="shared" si="9"/>
        <v>4225</v>
      </c>
      <c r="N57" s="727" t="s">
        <v>473</v>
      </c>
      <c r="P57" s="691">
        <v>33</v>
      </c>
      <c r="Q57" s="691">
        <f t="shared" si="10"/>
        <v>1188</v>
      </c>
      <c r="R57" s="691"/>
    </row>
    <row r="58" spans="1:18">
      <c r="A58" s="703"/>
      <c r="B58" s="703"/>
      <c r="C58" s="703"/>
      <c r="D58" s="660" t="s">
        <v>474</v>
      </c>
      <c r="E58" s="660"/>
      <c r="F58" s="650"/>
      <c r="G58" s="650"/>
      <c r="H58" s="650"/>
      <c r="I58" s="650"/>
      <c r="J58" s="650"/>
      <c r="K58" s="650"/>
      <c r="L58" s="650"/>
      <c r="M58" s="650">
        <f>SUM(L57)</f>
        <v>18000</v>
      </c>
      <c r="N58" s="701"/>
      <c r="P58" s="691">
        <v>24.36</v>
      </c>
      <c r="Q58" s="691">
        <f t="shared" si="10"/>
        <v>0</v>
      </c>
      <c r="R58" s="691"/>
    </row>
    <row r="59" spans="1:18">
      <c r="A59" s="703"/>
      <c r="B59" s="703"/>
      <c r="C59" s="703"/>
      <c r="D59" s="660" t="s">
        <v>475</v>
      </c>
      <c r="E59" s="660"/>
      <c r="F59" s="650">
        <v>14</v>
      </c>
      <c r="G59" s="650"/>
      <c r="H59" s="650">
        <v>1831.46</v>
      </c>
      <c r="I59" s="650">
        <f>SUM(H59*F59)</f>
        <v>25640.44</v>
      </c>
      <c r="J59" s="650">
        <v>306</v>
      </c>
      <c r="K59" s="650"/>
      <c r="L59" s="650">
        <f t="shared" ref="L59:L61" si="11">$F59*J59</f>
        <v>4284</v>
      </c>
      <c r="M59" s="650"/>
      <c r="N59" s="701"/>
      <c r="P59" s="691">
        <v>19.5</v>
      </c>
      <c r="Q59" s="691">
        <f t="shared" si="10"/>
        <v>273</v>
      </c>
      <c r="R59" s="691"/>
    </row>
    <row r="60" spans="1:18">
      <c r="A60" s="703"/>
      <c r="B60" s="703"/>
      <c r="C60" s="703"/>
      <c r="D60" s="660" t="s">
        <v>476</v>
      </c>
      <c r="E60" s="660"/>
      <c r="F60" s="650">
        <v>140</v>
      </c>
      <c r="G60" s="650"/>
      <c r="H60" s="650">
        <v>21</v>
      </c>
      <c r="I60" s="650">
        <f>SUM(H60*F60)</f>
        <v>2940</v>
      </c>
      <c r="J60" s="650">
        <v>5</v>
      </c>
      <c r="K60" s="650"/>
      <c r="L60" s="650">
        <f t="shared" si="11"/>
        <v>700</v>
      </c>
      <c r="M60" s="650">
        <f>I59+L59+SUM(L59+I59)</f>
        <v>59848.88</v>
      </c>
      <c r="N60" s="701"/>
      <c r="P60" s="691" t="s">
        <v>109</v>
      </c>
      <c r="Q60" s="691">
        <f>SUM(Q52:Q59)</f>
        <v>24386</v>
      </c>
      <c r="R60" s="691"/>
    </row>
    <row r="61" spans="1:18">
      <c r="A61" s="703"/>
      <c r="B61" s="703"/>
      <c r="C61" s="703"/>
      <c r="D61" s="660" t="s">
        <v>477</v>
      </c>
      <c r="E61" s="660"/>
      <c r="F61" s="650">
        <v>7</v>
      </c>
      <c r="G61" s="650"/>
      <c r="H61" s="336">
        <v>364.49</v>
      </c>
      <c r="I61" s="650">
        <f>SUM(I62*F61)</f>
        <v>0</v>
      </c>
      <c r="J61" s="650">
        <v>91</v>
      </c>
      <c r="K61" s="650"/>
      <c r="L61" s="650">
        <f t="shared" si="11"/>
        <v>637</v>
      </c>
      <c r="M61" s="650">
        <f>I60+L60+SUM(I60+L60)</f>
        <v>7280</v>
      </c>
      <c r="N61" s="701"/>
      <c r="P61" s="691"/>
      <c r="Q61" s="691"/>
      <c r="R61" s="691"/>
    </row>
    <row r="62" spans="1:18">
      <c r="A62" s="703"/>
      <c r="B62" s="703"/>
      <c r="C62" s="703"/>
      <c r="D62" s="660"/>
      <c r="E62" s="660"/>
      <c r="F62" s="650" t="s">
        <v>478</v>
      </c>
      <c r="G62" s="650"/>
      <c r="H62" s="650"/>
      <c r="I62" s="650"/>
      <c r="J62" s="650"/>
      <c r="K62" s="650"/>
      <c r="L62" s="650"/>
      <c r="M62" s="650">
        <f>I61+L61+SUM(I61+L61)</f>
        <v>1274</v>
      </c>
      <c r="N62" s="701"/>
      <c r="P62" s="336" t="s">
        <v>460</v>
      </c>
    </row>
    <row r="63" spans="1:18">
      <c r="A63" s="703"/>
      <c r="B63" s="703"/>
      <c r="C63" s="703"/>
      <c r="D63" s="660"/>
      <c r="E63" s="660"/>
      <c r="F63" s="650"/>
      <c r="G63" s="650"/>
      <c r="H63" s="650"/>
      <c r="I63" s="650"/>
      <c r="J63" s="650"/>
      <c r="K63" s="650"/>
      <c r="L63" s="650"/>
      <c r="M63" s="650"/>
      <c r="N63" s="701"/>
    </row>
    <row r="64" spans="1:18">
      <c r="A64" s="705"/>
      <c r="B64" s="705"/>
      <c r="C64" s="705"/>
      <c r="D64" s="660"/>
      <c r="E64" s="660"/>
      <c r="F64" s="650"/>
      <c r="G64" s="650"/>
      <c r="H64" s="650"/>
      <c r="I64" s="650"/>
      <c r="J64" s="650"/>
      <c r="K64" s="650"/>
      <c r="L64" s="650"/>
      <c r="M64" s="650"/>
      <c r="N64" s="705"/>
    </row>
    <row r="65" spans="1:14">
      <c r="A65" s="660"/>
      <c r="B65" s="660"/>
      <c r="C65" s="660"/>
      <c r="D65" s="660"/>
      <c r="E65" s="660"/>
      <c r="F65" s="650"/>
      <c r="G65" s="650"/>
      <c r="H65" s="650"/>
      <c r="I65" s="650"/>
      <c r="J65" s="650"/>
      <c r="K65" s="650"/>
      <c r="L65" s="650"/>
      <c r="M65" s="650"/>
      <c r="N65" s="728"/>
    </row>
    <row r="66" spans="1:14">
      <c r="A66" s="706"/>
      <c r="B66" s="706"/>
      <c r="C66" s="706"/>
      <c r="D66" s="707" t="s">
        <v>449</v>
      </c>
      <c r="E66" s="707"/>
      <c r="F66" s="706"/>
      <c r="G66" s="706"/>
      <c r="H66" s="708"/>
      <c r="I66" s="708"/>
      <c r="J66" s="708"/>
      <c r="K66" s="708"/>
      <c r="L66" s="708"/>
      <c r="M66" s="650"/>
      <c r="N66" s="706"/>
    </row>
    <row r="67" spans="1:14" ht="18.75" customHeight="1">
      <c r="D67" s="598"/>
      <c r="E67" s="598"/>
      <c r="H67" s="709"/>
      <c r="I67" s="709"/>
      <c r="J67" s="709"/>
      <c r="K67" s="709"/>
      <c r="L67" s="709"/>
      <c r="M67" s="729" t="e">
        <f>SUM(M50:M66)</f>
        <v>#REF!</v>
      </c>
    </row>
    <row r="68" spans="1:14" ht="18.75" customHeight="1">
      <c r="D68" s="598"/>
      <c r="E68" s="598"/>
      <c r="H68" s="709"/>
      <c r="I68" s="709"/>
      <c r="J68" s="709"/>
      <c r="K68" s="709"/>
      <c r="L68" s="709"/>
      <c r="M68" s="730"/>
    </row>
    <row r="69" spans="1:14">
      <c r="M69" s="730"/>
    </row>
  </sheetData>
  <mergeCells count="34">
    <mergeCell ref="N47:N48"/>
    <mergeCell ref="B11:E12"/>
    <mergeCell ref="A47:A48"/>
    <mergeCell ref="D47:D48"/>
    <mergeCell ref="F11:F12"/>
    <mergeCell ref="F47:F48"/>
    <mergeCell ref="G11:G12"/>
    <mergeCell ref="J30:K30"/>
    <mergeCell ref="J31:K31"/>
    <mergeCell ref="J32:K32"/>
    <mergeCell ref="H47:I47"/>
    <mergeCell ref="J47:L47"/>
    <mergeCell ref="J25:K25"/>
    <mergeCell ref="J26:K26"/>
    <mergeCell ref="J27:K27"/>
    <mergeCell ref="J28:K28"/>
    <mergeCell ref="J29:K29"/>
    <mergeCell ref="J20:K20"/>
    <mergeCell ref="J21:K21"/>
    <mergeCell ref="J22:K22"/>
    <mergeCell ref="J23:K23"/>
    <mergeCell ref="J24:K24"/>
    <mergeCell ref="J15:K15"/>
    <mergeCell ref="J16:K16"/>
    <mergeCell ref="J17:K17"/>
    <mergeCell ref="J18:K18"/>
    <mergeCell ref="J19:K19"/>
    <mergeCell ref="A2:N2"/>
    <mergeCell ref="H11:I11"/>
    <mergeCell ref="J11:L11"/>
    <mergeCell ref="J12:K12"/>
    <mergeCell ref="J14:K14"/>
    <mergeCell ref="A11:A12"/>
    <mergeCell ref="N11:N12"/>
  </mergeCells>
  <pageMargins left="1.2992125984252001" right="0.70866141732283505" top="0.74803149606299202" bottom="0.74803149606299202" header="0.31496062992126" footer="0.31496062992126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32</vt:i4>
      </vt:variant>
      <vt:variant>
        <vt:lpstr>ช่วงที่มีชื่อ</vt:lpstr>
      </vt:variant>
      <vt:variant>
        <vt:i4>13</vt:i4>
      </vt:variant>
    </vt:vector>
  </HeadingPairs>
  <TitlesOfParts>
    <vt:vector size="45" baseType="lpstr">
      <vt:lpstr>2.ข้อมูลวัสดุ</vt:lpstr>
      <vt:lpstr>3.สืบท่อโฟมลูกรังทรายเหล็กป้าย</vt:lpstr>
      <vt:lpstr>ปร.4(เอ)</vt:lpstr>
      <vt:lpstr>ตู่</vt:lpstr>
      <vt:lpstr>ทดสอบดิน</vt:lpstr>
      <vt:lpstr>งานดิน </vt:lpstr>
      <vt:lpstr>ประปา</vt:lpstr>
      <vt:lpstr>ปร4 ครุภัณฑ์โซล่าเซลล์</vt:lpstr>
      <vt:lpstr>ปร4 โครงสร้างโซล่าเซลล์</vt:lpstr>
      <vt:lpstr>ปร4 โครงสร้างหอถัง</vt:lpstr>
      <vt:lpstr>ปร5 กทั้งหมด</vt:lpstr>
      <vt:lpstr>ไม้แบบ</vt:lpstr>
      <vt:lpstr>วัสดุมวลรวมก่ออิฐฉาบปูน (2)</vt:lpstr>
      <vt:lpstr>วัสดุมวลรวมทาสีอาคาร  (2)</vt:lpstr>
      <vt:lpstr>คิดตอม่อโซล่า</vt:lpstr>
      <vt:lpstr>3412010</vt:lpstr>
      <vt:lpstr>ปร4 ครุภัณฑ์</vt:lpstr>
      <vt:lpstr>Sheet1</vt:lpstr>
      <vt:lpstr>Sheet2</vt:lpstr>
      <vt:lpstr>ปร5 ข ครุภัณฑ์</vt:lpstr>
      <vt:lpstr>ปร6 (อาร์ม)</vt:lpstr>
      <vt:lpstr>ปริมาณงาน</vt:lpstr>
      <vt:lpstr>วัสดุมวลรวมก่ออิฐฉาบปูน</vt:lpstr>
      <vt:lpstr>วัสดุมวลรวมปูกระเบื้อง</vt:lpstr>
      <vt:lpstr>วัสดุมวลรวมทาสีอาคาร </vt:lpstr>
      <vt:lpstr>วัสดุมวลรวมบุผนังกระเบื้อง </vt:lpstr>
      <vt:lpstr>บันทึกสืบฝ้าเพดาน</vt:lpstr>
      <vt:lpstr>วัสดุมวลรวมฝ้าเพดาน</vt:lpstr>
      <vt:lpstr>ทับหลังเสาเอ็น</vt:lpstr>
      <vt:lpstr>งานป้ายโครงการ</vt:lpstr>
      <vt:lpstr>3.สืบสี</vt:lpstr>
      <vt:lpstr>คิดรั้วเก่า</vt:lpstr>
      <vt:lpstr>'3412010'!Print_Area</vt:lpstr>
      <vt:lpstr>'งานดิน '!Print_Area</vt:lpstr>
      <vt:lpstr>ทดสอบดิน!Print_Area</vt:lpstr>
      <vt:lpstr>'ปร4 ครุภัณฑ์'!Print_Area</vt:lpstr>
      <vt:lpstr>'ปร4 ครุภัณฑ์โซล่าเซลล์'!Print_Area</vt:lpstr>
      <vt:lpstr>'ปร4 โครงสร้างโซล่าเซลล์'!Print_Area</vt:lpstr>
      <vt:lpstr>'ปร4 โครงสร้างหอถัง'!Print_Area</vt:lpstr>
      <vt:lpstr>'ปร5 กทั้งหมด'!Print_Area</vt:lpstr>
      <vt:lpstr>'ปร5 ข ครุภัณฑ์'!Print_Area</vt:lpstr>
      <vt:lpstr>'ปร6 (อาร์ม)'!Print_Area</vt:lpstr>
      <vt:lpstr>ไม้แบบ!Print_Area</vt:lpstr>
      <vt:lpstr>'3412010'!Print_Titles</vt:lpstr>
      <vt:lpstr>'งานดิน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thararat klangchokchai</cp:lastModifiedBy>
  <cp:lastPrinted>2025-04-01T03:13:30Z</cp:lastPrinted>
  <dcterms:created xsi:type="dcterms:W3CDTF">2008-03-21T06:33:00Z</dcterms:created>
  <dcterms:modified xsi:type="dcterms:W3CDTF">2025-04-01T03:14:21Z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5396686E9368400191B305606997F82E_13</vt:lpwstr>
  </property>
  <property fmtid="{D5CDD505-2E9C-101B-9397-08002B2CF9AE}" pid="3" name="KSOProductBuildVer">
    <vt:lpwstr>1054-12.2.0.17153</vt:lpwstr>
  </property>
</Properties>
</file>