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งบลงทุน ปี 2567\10. ปรับปรุงห้องปฏิบัติการวิศวกรรมไฟฟ้า-4,458,000\"/>
    </mc:Choice>
  </mc:AlternateContent>
  <bookViews>
    <workbookView xWindow="0" yWindow="0" windowWidth="23040" windowHeight="8904" activeTab="1"/>
  </bookViews>
  <sheets>
    <sheet name="ปร.4(ก)" sheetId="1" r:id="rId1"/>
    <sheet name="ปร.4(ข)" sheetId="8" r:id="rId2"/>
    <sheet name="ปร.5 (ข)" sheetId="9" r:id="rId3"/>
    <sheet name="ปร.5 (ก)" sheetId="2" r:id="rId4"/>
    <sheet name="ปร.6" sheetId="3" r:id="rId5"/>
    <sheet name="factor f" sheetId="7" r:id="rId6"/>
    <sheet name="Backup_Sheet" sheetId="11" r:id="rId7"/>
  </sheets>
  <definedNames>
    <definedName name="_xlnm.Print_Area" localSheetId="0">'ปร.4(ก)'!$A$1:$J$208</definedName>
    <definedName name="_xlnm.Print_Area" localSheetId="1">'ปร.4(ข)'!$A$1:$J$24</definedName>
    <definedName name="_xlnm.Print_Area" localSheetId="2">'ปร.5 (ข)'!$A$1:$F$31</definedName>
    <definedName name="_xlnm.Print_Area" localSheetId="4">ปร.6!$A$1:$F$32</definedName>
  </definedNames>
  <calcPr calcId="162913"/>
</workbook>
</file>

<file path=xl/calcChain.xml><?xml version="1.0" encoding="utf-8"?>
<calcChain xmlns="http://schemas.openxmlformats.org/spreadsheetml/2006/main">
  <c r="F96" i="1" l="1"/>
  <c r="C12" i="2" l="1"/>
  <c r="E12" i="2" l="1"/>
  <c r="B13" i="2"/>
  <c r="E13" i="9"/>
  <c r="E18" i="8"/>
  <c r="I12" i="8"/>
  <c r="F12" i="8"/>
  <c r="F125" i="1" l="1"/>
  <c r="F46" i="1"/>
  <c r="F41" i="1"/>
  <c r="F38" i="1"/>
  <c r="C61" i="11" l="1"/>
  <c r="F61" i="11" s="1"/>
  <c r="C57" i="11"/>
  <c r="C56" i="11"/>
  <c r="C58" i="11" s="1"/>
  <c r="C53" i="11"/>
  <c r="C52" i="11"/>
  <c r="C54" i="11" s="1"/>
  <c r="C49" i="11"/>
  <c r="F48" i="11"/>
  <c r="C48" i="11"/>
  <c r="C41" i="11"/>
  <c r="F41" i="11" s="1"/>
  <c r="C40" i="11"/>
  <c r="F40" i="11" s="1"/>
  <c r="F42" i="11" s="1"/>
  <c r="F39" i="11"/>
  <c r="C39" i="11"/>
  <c r="C36" i="11"/>
  <c r="F36" i="11" s="1"/>
  <c r="F33" i="11"/>
  <c r="C33" i="11"/>
  <c r="F32" i="11"/>
  <c r="F34" i="11" s="1"/>
  <c r="C32" i="11"/>
  <c r="C26" i="11"/>
  <c r="E26" i="11" s="1"/>
  <c r="C25" i="11"/>
  <c r="E25" i="11" s="1"/>
  <c r="C24" i="11"/>
  <c r="E24" i="11" s="1"/>
  <c r="E23" i="11"/>
  <c r="E27" i="11" s="1"/>
  <c r="C23" i="11"/>
  <c r="C19" i="11"/>
  <c r="F19" i="11" s="1"/>
  <c r="F14" i="11"/>
  <c r="C14" i="11"/>
  <c r="F12" i="11"/>
  <c r="F15" i="11" s="1"/>
  <c r="C12" i="11"/>
  <c r="C7" i="11"/>
  <c r="C8" i="11" s="1"/>
  <c r="E8" i="11" s="1"/>
  <c r="F3" i="11"/>
  <c r="H12" i="7"/>
  <c r="F11" i="7"/>
  <c r="D11" i="7"/>
  <c r="D14" i="7" s="1"/>
  <c r="H18" i="8"/>
  <c r="H24" i="8" s="1"/>
  <c r="F18" i="8"/>
  <c r="I18" i="8" s="1"/>
  <c r="I24" i="8" s="1"/>
  <c r="H12" i="8"/>
  <c r="F199" i="1"/>
  <c r="F198" i="1"/>
  <c r="I198" i="1" s="1"/>
  <c r="F197" i="1"/>
  <c r="F176" i="1"/>
  <c r="H175" i="1"/>
  <c r="F175" i="1"/>
  <c r="H174" i="1"/>
  <c r="F174" i="1"/>
  <c r="H173" i="1"/>
  <c r="F173" i="1"/>
  <c r="H172" i="1"/>
  <c r="F172" i="1"/>
  <c r="F157" i="1"/>
  <c r="F156" i="1"/>
  <c r="H155" i="1"/>
  <c r="F155" i="1"/>
  <c r="H154" i="1"/>
  <c r="F154" i="1"/>
  <c r="H153" i="1"/>
  <c r="F153" i="1"/>
  <c r="H152" i="1"/>
  <c r="F152" i="1"/>
  <c r="H151" i="1"/>
  <c r="F151" i="1"/>
  <c r="H150" i="1"/>
  <c r="F150" i="1"/>
  <c r="H149" i="1"/>
  <c r="F149" i="1"/>
  <c r="H148" i="1"/>
  <c r="F148" i="1"/>
  <c r="H147" i="1"/>
  <c r="F147" i="1"/>
  <c r="H146" i="1"/>
  <c r="F146" i="1"/>
  <c r="H145" i="1"/>
  <c r="F145" i="1"/>
  <c r="H132" i="1"/>
  <c r="F132" i="1"/>
  <c r="H131" i="1"/>
  <c r="F131" i="1"/>
  <c r="H130" i="1"/>
  <c r="F130" i="1"/>
  <c r="H129" i="1"/>
  <c r="F129" i="1"/>
  <c r="H128" i="1"/>
  <c r="F128" i="1"/>
  <c r="H127" i="1"/>
  <c r="I127" i="1" s="1"/>
  <c r="F127" i="1"/>
  <c r="H126" i="1"/>
  <c r="F126" i="1"/>
  <c r="H125" i="1"/>
  <c r="H124" i="1"/>
  <c r="F124" i="1"/>
  <c r="H123" i="1"/>
  <c r="F123" i="1"/>
  <c r="H122" i="1"/>
  <c r="F122" i="1"/>
  <c r="H121" i="1"/>
  <c r="F121" i="1"/>
  <c r="H120" i="1"/>
  <c r="F120" i="1"/>
  <c r="H119" i="1"/>
  <c r="F119" i="1"/>
  <c r="H118" i="1"/>
  <c r="F118" i="1"/>
  <c r="H117" i="1"/>
  <c r="F117" i="1"/>
  <c r="F104" i="1"/>
  <c r="H103" i="1"/>
  <c r="F103" i="1"/>
  <c r="H102" i="1"/>
  <c r="F102" i="1"/>
  <c r="H101" i="1"/>
  <c r="F101" i="1"/>
  <c r="H100" i="1"/>
  <c r="F100" i="1"/>
  <c r="H99" i="1"/>
  <c r="I99" i="1" s="1"/>
  <c r="F99" i="1"/>
  <c r="H97" i="1"/>
  <c r="F97" i="1"/>
  <c r="H96" i="1"/>
  <c r="H95" i="1"/>
  <c r="F95" i="1"/>
  <c r="H94" i="1"/>
  <c r="F94" i="1"/>
  <c r="F79" i="1"/>
  <c r="H78" i="1"/>
  <c r="I78" i="1" s="1"/>
  <c r="F78" i="1"/>
  <c r="H77" i="1"/>
  <c r="F77" i="1"/>
  <c r="H76" i="1"/>
  <c r="F76" i="1"/>
  <c r="H74" i="1"/>
  <c r="F74" i="1"/>
  <c r="H73" i="1"/>
  <c r="F73" i="1"/>
  <c r="H72" i="1"/>
  <c r="F72" i="1"/>
  <c r="H71" i="1"/>
  <c r="F71" i="1"/>
  <c r="H70" i="1"/>
  <c r="F70" i="1"/>
  <c r="H69" i="1"/>
  <c r="F69" i="1"/>
  <c r="H68" i="1"/>
  <c r="F68" i="1"/>
  <c r="H67" i="1"/>
  <c r="F67" i="1"/>
  <c r="H66" i="1"/>
  <c r="F66" i="1"/>
  <c r="H65" i="1"/>
  <c r="F65" i="1"/>
  <c r="H64" i="1"/>
  <c r="F64" i="1"/>
  <c r="H53" i="1"/>
  <c r="F53" i="1"/>
  <c r="H52" i="1"/>
  <c r="F52" i="1"/>
  <c r="H51" i="1"/>
  <c r="F51" i="1"/>
  <c r="H50" i="1"/>
  <c r="F50" i="1"/>
  <c r="H49" i="1"/>
  <c r="F49" i="1"/>
  <c r="H48" i="1"/>
  <c r="F48" i="1"/>
  <c r="H47" i="1"/>
  <c r="F47" i="1"/>
  <c r="H46" i="1"/>
  <c r="H42" i="1"/>
  <c r="F42" i="1"/>
  <c r="H41" i="1"/>
  <c r="H40" i="1"/>
  <c r="F40" i="1"/>
  <c r="N27" i="1"/>
  <c r="H27" i="1"/>
  <c r="F27" i="1"/>
  <c r="H25" i="1"/>
  <c r="F25" i="1"/>
  <c r="H24" i="1"/>
  <c r="H21" i="1"/>
  <c r="H20" i="1"/>
  <c r="H17" i="1"/>
  <c r="H13" i="1"/>
  <c r="H12" i="1"/>
  <c r="H14" i="1" s="1"/>
  <c r="I41" i="1" l="1"/>
  <c r="I66" i="1"/>
  <c r="I118" i="1"/>
  <c r="I40" i="1"/>
  <c r="I47" i="1"/>
  <c r="I117" i="1"/>
  <c r="I121" i="1"/>
  <c r="I153" i="1"/>
  <c r="I157" i="1"/>
  <c r="I199" i="1"/>
  <c r="I197" i="1"/>
  <c r="I200" i="1" s="1"/>
  <c r="C15" i="2" s="1"/>
  <c r="E15" i="2" s="1"/>
  <c r="I13" i="1"/>
  <c r="I100" i="1"/>
  <c r="I17" i="1"/>
  <c r="I20" i="1"/>
  <c r="H44" i="1"/>
  <c r="I174" i="1"/>
  <c r="I65" i="1"/>
  <c r="I25" i="1"/>
  <c r="I48" i="1"/>
  <c r="I70" i="1"/>
  <c r="I74" i="1"/>
  <c r="I79" i="1"/>
  <c r="I97" i="1"/>
  <c r="I146" i="1"/>
  <c r="I150" i="1"/>
  <c r="I154" i="1"/>
  <c r="I50" i="1"/>
  <c r="I77" i="1"/>
  <c r="I95" i="1"/>
  <c r="I104" i="1"/>
  <c r="I120" i="1"/>
  <c r="I132" i="1"/>
  <c r="I148" i="1"/>
  <c r="I73" i="1"/>
  <c r="I125" i="1"/>
  <c r="I145" i="1"/>
  <c r="I175" i="1"/>
  <c r="I52" i="1"/>
  <c r="I102" i="1"/>
  <c r="I12" i="1"/>
  <c r="I27" i="1"/>
  <c r="I126" i="1"/>
  <c r="I42" i="1"/>
  <c r="I49" i="1"/>
  <c r="I53" i="1"/>
  <c r="I67" i="1"/>
  <c r="I71" i="1"/>
  <c r="I123" i="1"/>
  <c r="I131" i="1"/>
  <c r="I155" i="1"/>
  <c r="I173" i="1"/>
  <c r="F44" i="1"/>
  <c r="I46" i="1"/>
  <c r="H133" i="1"/>
  <c r="I129" i="1"/>
  <c r="I152" i="1"/>
  <c r="F80" i="1"/>
  <c r="I76" i="1"/>
  <c r="I94" i="1"/>
  <c r="I122" i="1"/>
  <c r="F158" i="1"/>
  <c r="I149" i="1"/>
  <c r="I156" i="1"/>
  <c r="H80" i="1"/>
  <c r="I68" i="1"/>
  <c r="I72" i="1"/>
  <c r="H105" i="1"/>
  <c r="I103" i="1"/>
  <c r="I130" i="1"/>
  <c r="H177" i="1"/>
  <c r="I51" i="1"/>
  <c r="I119" i="1"/>
  <c r="I69" i="1"/>
  <c r="I147" i="1"/>
  <c r="I172" i="1"/>
  <c r="I24" i="1"/>
  <c r="F105" i="1"/>
  <c r="I101" i="1"/>
  <c r="I124" i="1"/>
  <c r="I128" i="1"/>
  <c r="I151" i="1"/>
  <c r="I176" i="1"/>
  <c r="H22" i="1"/>
  <c r="I21" i="1"/>
  <c r="I96" i="1"/>
  <c r="H158" i="1"/>
  <c r="F200" i="1"/>
  <c r="F177" i="1"/>
  <c r="I64" i="1"/>
  <c r="F24" i="8"/>
  <c r="E7" i="11"/>
  <c r="E9" i="11" s="1"/>
  <c r="F133" i="1"/>
  <c r="I38" i="1"/>
  <c r="C13" i="9" l="1"/>
  <c r="I14" i="1"/>
  <c r="I22" i="1"/>
  <c r="H81" i="1"/>
  <c r="F81" i="1"/>
  <c r="I133" i="1"/>
  <c r="I80" i="1"/>
  <c r="F178" i="1"/>
  <c r="I44" i="1"/>
  <c r="I158" i="1"/>
  <c r="H178" i="1"/>
  <c r="I105" i="1"/>
  <c r="I177" i="1"/>
  <c r="E22" i="9" l="1"/>
  <c r="C13" i="3"/>
  <c r="I81" i="1"/>
  <c r="C13" i="2" s="1"/>
  <c r="E13" i="2" s="1"/>
  <c r="I178" i="1"/>
  <c r="C14" i="2" s="1"/>
  <c r="E14" i="2" l="1"/>
  <c r="E25" i="2" s="1"/>
  <c r="C12" i="3" s="1"/>
  <c r="C21" i="3" s="1"/>
  <c r="C22" i="3" s="1"/>
  <c r="B23" i="3" s="1"/>
  <c r="N5" i="7"/>
  <c r="H22" i="3" l="1"/>
  <c r="E27" i="2"/>
  <c r="E14" i="7" l="1"/>
  <c r="V14" i="7" s="1"/>
  <c r="N14" i="7" s="1"/>
  <c r="K11" i="7"/>
</calcChain>
</file>

<file path=xl/sharedStrings.xml><?xml version="1.0" encoding="utf-8"?>
<sst xmlns="http://schemas.openxmlformats.org/spreadsheetml/2006/main" count="786" uniqueCount="361">
  <si>
    <t>แบบ ปร.4(ก)  แผ่นที่ 1 / 8</t>
  </si>
  <si>
    <t>แบบแสดงรายการ ปริมาณงาน และราคา</t>
  </si>
  <si>
    <t>กลุ่มงาน/งาน ก่อสร้างอาคาร</t>
  </si>
  <si>
    <t>ชื่อโครงการ/งานก่อสร้าง ปรับปรุงห้องปฏิบัติการวิศวกรรมไฟฟ้า  พร้อมครุภัณฑ์ ตําบลกาฬสินธุ์ อําเภอเมืองกาฬสินธุ์ จังหวัดกาฬสินธุ์ 1 งาน</t>
  </si>
  <si>
    <t>สถานที่ก่อสร้าง มหาวิทยาลัยกาฬสินธุ์ ตำบลกาฬสินธุ์ อำเภอเมืองกาฬสินธุ์ จังหวัดกาฬสินธุ์</t>
  </si>
  <si>
    <t>แบบเลขที่</t>
  </si>
  <si>
    <t>หน่วยงานเจ้าของโครงการ/งานก่อสร้าง มหาวิทยาลัยกาฬสินธุ์</t>
  </si>
  <si>
    <t>เมื่อวันที่</t>
  </si>
  <si>
    <t xml:space="preserve"> </t>
  </si>
  <si>
    <t>เดือน</t>
  </si>
  <si>
    <t>มีนาคม</t>
  </si>
  <si>
    <t>พ.ศ. 2567</t>
  </si>
  <si>
    <t>หน่วย : บาท</t>
  </si>
  <si>
    <t>ลำดับที่</t>
  </si>
  <si>
    <t>รายการ</t>
  </si>
  <si>
    <t>จำนวน</t>
  </si>
  <si>
    <t>หน่วย</t>
  </si>
  <si>
    <t>ค่าวัสดุ</t>
  </si>
  <si>
    <t>ค่าแรงงาน</t>
  </si>
  <si>
    <t>รวม</t>
  </si>
  <si>
    <t>หมายเหตุ</t>
  </si>
  <si>
    <t>ราคาต่อหน่วย</t>
  </si>
  <si>
    <t>จำนวนเงิน</t>
  </si>
  <si>
    <t>ค่าวัสดุและแรงงาน</t>
  </si>
  <si>
    <t>งานปรับพื้นที่</t>
  </si>
  <si>
    <t>ตัดต้นไม้ใหญ่ พร้อมขุดรากทิ้ง</t>
  </si>
  <si>
    <t>ต้น</t>
  </si>
  <si>
    <t>รื้อขนไป</t>
  </si>
  <si>
    <t>ปรับพื้นที่ พร้อมตัดต้นไม้หน้าอาคาร 1 ระดับหลังคา</t>
  </si>
  <si>
    <t>งาน</t>
  </si>
  <si>
    <t>รวม (1)</t>
  </si>
  <si>
    <t>งานปรับปรุงห้องปฏิบัติการวิศวกรรมไฟฟ้า</t>
  </si>
  <si>
    <t>หมวดงานรื้อถอน</t>
  </si>
  <si>
    <t>2.1.1</t>
  </si>
  <si>
    <t>- รื้อถอนห้องน้ำ(เดิม)</t>
  </si>
  <si>
    <t>- รื้อถอนกระเบื้องพื้น</t>
  </si>
  <si>
    <t>- รื้อถอนผนังกั้นระหว่างห้องน้ำเดิม</t>
  </si>
  <si>
    <t>2.1.2</t>
  </si>
  <si>
    <t xml:space="preserve"> รื้อถอนผนังอลูมิเนียมเดิม (P4)</t>
  </si>
  <si>
    <t>ตร.ม.</t>
  </si>
  <si>
    <t>2.1.3</t>
  </si>
  <si>
    <t xml:space="preserve"> รื้อถอนม้านั่งเดิม</t>
  </si>
  <si>
    <t>ชุด</t>
  </si>
  <si>
    <t>รวม (2.1)</t>
  </si>
  <si>
    <t>หมวดงานสถาปัตยกรรม</t>
  </si>
  <si>
    <t>2.2.1</t>
  </si>
  <si>
    <t>งานติดตั้งชุดประตูหน้าต่างอลูมิเนียม (P4)</t>
  </si>
  <si>
    <t>2.2.2</t>
  </si>
  <si>
    <t xml:space="preserve">ผนังยิปซั่มบอร์ด หนา 12 mm. โครงคร่าวเหล็กชุบสังกะสี 2 ด้าน </t>
  </si>
  <si>
    <t>ฉาบปูนเรียบทาสีขาว ระบุเฉดสีขณะก่อสร้าง (P3)</t>
  </si>
  <si>
    <t>2.2.3</t>
  </si>
  <si>
    <t>งานซ่อมแซมชุดหน้าต่างอลูมิเนียมเดิม ด้านหลังอาคาร</t>
  </si>
  <si>
    <t>แบบ ปร.4(ก)  แผ่นที่ 2 / 8</t>
  </si>
  <si>
    <t>2.2.5</t>
  </si>
  <si>
    <t>ติดตั้งประตูบานอลูมิเนียมสวิงคู่ พร้อมอุปกรณ์(ใหม่) ขนาดปรับตามหน้างาน</t>
  </si>
  <si>
    <t>อลูมิเนียมหนา 1.5 มม. กระจกใส หนา 5 มม. พร้อมมือจับสแตนเลส</t>
  </si>
  <si>
    <t>2.2.6</t>
  </si>
  <si>
    <t>งานประตูห้องเก็บของ วงกบ UPVC บาน UPVC ขนาด 100X200 cm</t>
  </si>
  <si>
    <t>2.2.8</t>
  </si>
  <si>
    <t>พื้นปูกระเบืองเคลือบ ขนาด 12 นิ้ว x 12 นิ้ว</t>
  </si>
  <si>
    <t>2.2.10</t>
  </si>
  <si>
    <t xml:space="preserve">งานทาสีผนัง สีน้ำอะครีลิค 100% </t>
  </si>
  <si>
    <t xml:space="preserve">    - น้ำยารองพื้นปูนเก่า 1 เที่ยว +สีจริง2 เที่ยว</t>
  </si>
  <si>
    <t>รวม (2.2)</t>
  </si>
  <si>
    <t>2.3</t>
  </si>
  <si>
    <t>หมวดงานระบบไฟฟ้า</t>
  </si>
  <si>
    <t>2.3.1</t>
  </si>
  <si>
    <t xml:space="preserve">สาย THW ขนาด 1 x 150 ตร.มม. แรงดัน 750 โวลท์ </t>
  </si>
  <si>
    <t xml:space="preserve"> เมตร </t>
  </si>
  <si>
    <t>2.3.2</t>
  </si>
  <si>
    <t xml:space="preserve">สาย THW ขนาด 1 x 95 ตร.มม. แรงดัน 750 โวลท์ </t>
  </si>
  <si>
    <t>2.3.3</t>
  </si>
  <si>
    <t xml:space="preserve">สาย THW ขนาด 1 x 50 ตร.มม. แรงดัน 750 โวลท์  </t>
  </si>
  <si>
    <t>2.3.5</t>
  </si>
  <si>
    <t xml:space="preserve">สาย THW ขนาด 1 x 25 ตร.มม. แรงดัน 750 โวลท์ </t>
  </si>
  <si>
    <t>2.3.6</t>
  </si>
  <si>
    <t xml:space="preserve">สาย THW ขนาด 1 x 16 ตร.มม. แรงดัน 750 โวลท์ </t>
  </si>
  <si>
    <t>2.3.7</t>
  </si>
  <si>
    <t xml:space="preserve">สาย THW ขนาด 1 x 10 ตร.มม. แรงดัน 750 โวลท์ </t>
  </si>
  <si>
    <t>2.3.8</t>
  </si>
  <si>
    <t xml:space="preserve">สาย THW ขนาด 1 x 6 ตร.มม. แรงดัน 750 โวลท์ </t>
  </si>
  <si>
    <t>2.3.9</t>
  </si>
  <si>
    <t xml:space="preserve">สาย THW ขนาด 1 x 4 ตร.มม. แรงดัน 750 โวลท์ </t>
  </si>
  <si>
    <t>แบบ ปร.4(ก)  แผ่นที่ 3 / 8</t>
  </si>
  <si>
    <t xml:space="preserve">สาย THW ขนาด 1 x 2.5 ตร.มม. แรงดัน 750 โวลท์ </t>
  </si>
  <si>
    <t xml:space="preserve">สาย THW ขนาด 1 x 1.5 ตร.มม. แรงดัน 750 โวลท์ </t>
  </si>
  <si>
    <t xml:space="preserve">ราง Wire Way ขนาด 300x100 </t>
  </si>
  <si>
    <t xml:space="preserve"> เส้น </t>
  </si>
  <si>
    <t>2.3.10</t>
  </si>
  <si>
    <t xml:space="preserve"> ท่อ EMT  สำหรับร้อยสายไฟ 1/2 นิ้ว </t>
  </si>
  <si>
    <t>เมตร</t>
  </si>
  <si>
    <t>2.3.11</t>
  </si>
  <si>
    <t xml:space="preserve"> ท่อ EMT  สำหรับร้อยสายไฟ 3/4 นิ้ว</t>
  </si>
  <si>
    <t>2.3.12</t>
  </si>
  <si>
    <t xml:space="preserve"> ท่อ EMT  สำหรับร้อยสายไฟ 1 นิ้ว</t>
  </si>
  <si>
    <t>2.3.13</t>
  </si>
  <si>
    <t xml:space="preserve">กล่องพักสายไฟฟ้า 2 x 4 นิ้ว </t>
  </si>
  <si>
    <t xml:space="preserve"> กล่อง </t>
  </si>
  <si>
    <t>2.3.14</t>
  </si>
  <si>
    <t xml:space="preserve">กล่องพักสายไฟฟ้า 4 x 4 นิ้ว </t>
  </si>
  <si>
    <t>2.3.15</t>
  </si>
  <si>
    <t>สวิตซ์ไฟฟ้าทางเดียว 16A 250V</t>
  </si>
  <si>
    <t xml:space="preserve"> ชุด </t>
  </si>
  <si>
    <t>2.3.16</t>
  </si>
  <si>
    <t>เต้ารับไฟฟ้าแบบคู่ขากลม-แบน 16A 250V มีกราวด์</t>
  </si>
  <si>
    <t>2.3.17</t>
  </si>
  <si>
    <t xml:space="preserve">โคมไฟเพดาน  2x18 วัตต์ ขนาด 30x120 CM หลอด LED TUBE T8 </t>
  </si>
  <si>
    <t>หน้าตะแกรงถี่อลูมิเนียมสะท้อนแสงชนิดติดลอย</t>
  </si>
  <si>
    <t>2.3.18</t>
  </si>
  <si>
    <t>ตู้ MDB ขนาด MCB 400 A พร้อมลูกเซอร์กิต</t>
  </si>
  <si>
    <t>2.3.19</t>
  </si>
  <si>
    <t>ตู้ควบคุมระบบไฟฟ้า 3 เฟส เมน 100 A พร้อมลูกเซอร์กิต 36 ช่อง</t>
  </si>
  <si>
    <t>2.3.20</t>
  </si>
  <si>
    <t>งานพัดลมแบบติดกระจกขนาด 8 นิ้ว พร้อมติดตั้ง</t>
  </si>
  <si>
    <t>2.3.21</t>
  </si>
  <si>
    <t>อุปกรณ์ประกอบการติดตั้ง และอุปกรณ์อื่นๆ</t>
  </si>
  <si>
    <t>รวม (2.3)</t>
  </si>
  <si>
    <t>รวม (2.1+2.2+2.3)</t>
  </si>
  <si>
    <t>แบบ ปร.4(ก)  แผ่นที่ 4 / 8</t>
  </si>
  <si>
    <t>3</t>
  </si>
  <si>
    <t>งานห้องน้ำชาย-หญิง</t>
  </si>
  <si>
    <t>3.1</t>
  </si>
  <si>
    <t>หมวดงานโครงสร้าง</t>
  </si>
  <si>
    <t>3.1.1</t>
  </si>
  <si>
    <t>งานดินถมบดอัดแน่น</t>
  </si>
  <si>
    <t>ลบ.ม.</t>
  </si>
  <si>
    <t>3.1.2</t>
  </si>
  <si>
    <t>ทรายหยาบ</t>
  </si>
  <si>
    <t>3.1.3</t>
  </si>
  <si>
    <t>คอนกรีตหยาบ</t>
  </si>
  <si>
    <t>3.1.4</t>
  </si>
  <si>
    <t>คอนกรีตผสมเสร็จ 240 ksc Cube</t>
  </si>
  <si>
    <t>3.1.5</t>
  </si>
  <si>
    <t>เหล็กเสริมคอนกรีต</t>
  </si>
  <si>
    <t>- DB12 มม. SD40</t>
  </si>
  <si>
    <t>กก.</t>
  </si>
  <si>
    <t>- RB9 มม. SR24</t>
  </si>
  <si>
    <t>- RB 6 มม. SR24</t>
  </si>
  <si>
    <t>3.1.6</t>
  </si>
  <si>
    <t>Wire mesh ขนาด 4 มม. #0.20 ม.</t>
  </si>
  <si>
    <t>3.1.7</t>
  </si>
  <si>
    <t>ไม้แบบ</t>
  </si>
  <si>
    <t>ลบ.ฟ.</t>
  </si>
  <si>
    <t>3.1.8</t>
  </si>
  <si>
    <t>ตะปู</t>
  </si>
  <si>
    <t>รวม (3.1)</t>
  </si>
  <si>
    <t>แบบ ปร.4(ก)  แผ่นที่ 5 / 8</t>
  </si>
  <si>
    <t>3.2.1</t>
  </si>
  <si>
    <t>พ1</t>
  </si>
  <si>
    <t>3.2.2</t>
  </si>
  <si>
    <t>พ2</t>
  </si>
  <si>
    <t>3.2.3</t>
  </si>
  <si>
    <t>ผ1</t>
  </si>
  <si>
    <t>3.2.4</t>
  </si>
  <si>
    <t>ผ2</t>
  </si>
  <si>
    <t>3.2.5</t>
  </si>
  <si>
    <t>ผ3</t>
  </si>
  <si>
    <t>3.2.6</t>
  </si>
  <si>
    <t>ผ4</t>
  </si>
  <si>
    <t>3.2.7</t>
  </si>
  <si>
    <t>ก่ออิฐมอญครึ่งแผ่น</t>
  </si>
  <si>
    <t>3.2.8</t>
  </si>
  <si>
    <t>ป1</t>
  </si>
  <si>
    <t>3.2.9</t>
  </si>
  <si>
    <t>อะเสเหล็ก I-Beam 125x75 (16.1kg/m.)</t>
  </si>
  <si>
    <t>ท่อน</t>
  </si>
  <si>
    <t>3.2.10</t>
  </si>
  <si>
    <t>จันทันเหล็ก C 125x50x20x4 มม.(7.5kg/m.)</t>
  </si>
  <si>
    <t>3.2.11</t>
  </si>
  <si>
    <t>แปเหล็ก C 100x50x20x3.2(5.5kg/m.)</t>
  </si>
  <si>
    <t>3.2.12</t>
  </si>
  <si>
    <t>หลังคา Metal Sheet เคลือบสี หนา 0.35 มม. บุPE หนา 5 มม.</t>
  </si>
  <si>
    <t>3.2.13</t>
  </si>
  <si>
    <t>ครอบข้าง Metal Sheet เคลือบสี หนา 0.35 มม.</t>
  </si>
  <si>
    <t>ม.</t>
  </si>
  <si>
    <t>3.2.14</t>
  </si>
  <si>
    <t>เชิงชายไม้เทียมขนาด 6 นิ้ว</t>
  </si>
  <si>
    <t>3.2.15</t>
  </si>
  <si>
    <t>สีน้ำพลาสติก 100% มอก2321-2549</t>
  </si>
  <si>
    <t>3.2.16</t>
  </si>
  <si>
    <t>สีกันสนิม+สีน้ำมัน</t>
  </si>
  <si>
    <t>รวม (3.2)</t>
  </si>
  <si>
    <t>แบบ ปร.4(ก)  แผ่นที่ 6 / 8</t>
  </si>
  <si>
    <t>3.3</t>
  </si>
  <si>
    <t>หมวดงานระบบสุขาภิบาล</t>
  </si>
  <si>
    <t>3.3.1</t>
  </si>
  <si>
    <t>โถส้วมนั่งราบ พร้อมหม้อน้ำ รุ่นประหยัดน้ำ 6 ลิตร พร้อมอุปกรณ์ครบชุด</t>
  </si>
  <si>
    <t>3.3.2</t>
  </si>
  <si>
    <t>โถปัสสาวะชาย พร้อมก๊อกน้ำแบบกด พร้อมอุปกรณ์ครบชุด</t>
  </si>
  <si>
    <t>3.3.3</t>
  </si>
  <si>
    <t>อ่างล้างหน้าแบบแขวนผนัง(พร้อมสายน้ำดี สะดืออ่าง)</t>
  </si>
  <si>
    <t>3.3.4</t>
  </si>
  <si>
    <t>สายฉีดชำระพร้อมขอแขวน</t>
  </si>
  <si>
    <t>3.3.5</t>
  </si>
  <si>
    <t>ก๊อกสำหรับอ่างล้างหน้าแบบโยก</t>
  </si>
  <si>
    <t>3.3.6</t>
  </si>
  <si>
    <t>สต๊อปวาว์ล</t>
  </si>
  <si>
    <t>3.3.7</t>
  </si>
  <si>
    <t>กระจกเงานติดผนัง ขนาด 0.60x0.45 ม. เจียรปรี</t>
  </si>
  <si>
    <t>3.3.8</t>
  </si>
  <si>
    <t>ก๊อกน้ำล้างพื้น</t>
  </si>
  <si>
    <t>3.3.10</t>
  </si>
  <si>
    <t>ถังบำบัดน้ำเสียสำเร็จรูป ขนาด 2,000 ลิตร (ไม่มีระบบอัดอากาศ)</t>
  </si>
  <si>
    <t>3.3.12</t>
  </si>
  <si>
    <t>ประตูน้ำ ขนาด 1/2"</t>
  </si>
  <si>
    <t>3.3.13</t>
  </si>
  <si>
    <t>FD 2"</t>
  </si>
  <si>
    <t>3.3.14</t>
  </si>
  <si>
    <t>งานเดินท่อน้ำดี</t>
  </si>
  <si>
    <t>3.3.15</t>
  </si>
  <si>
    <t>งานเดินท่อน้ำเสีย บ่อวงคอนกรีตพร้อมฝาปิด ขนาด 1.2 เมตร</t>
  </si>
  <si>
    <t>รวม (3.3)</t>
  </si>
  <si>
    <t>แบบ ปร.4(ก)  แผ่นที่ 7 / 8</t>
  </si>
  <si>
    <t>3.4</t>
  </si>
  <si>
    <t>3.4.1</t>
  </si>
  <si>
    <t>โคไฟฟ้าแบบเปลือย 1x18 W หลอด LED T8 ครบชุด</t>
  </si>
  <si>
    <t>3.4.2</t>
  </si>
  <si>
    <t>สวิตช์ไฟฟ้าทางเดียว 16A 250V</t>
  </si>
  <si>
    <t>3.4.3</t>
  </si>
  <si>
    <t>เดินสายไฟดวงโคม เดินในท่อ PVC สำหรับร้อยสายไฟ</t>
  </si>
  <si>
    <t>จุด</t>
  </si>
  <si>
    <t>3.4.4</t>
  </si>
  <si>
    <t>เดินสายไฟสวิตช์</t>
  </si>
  <si>
    <t>3.4.5</t>
  </si>
  <si>
    <t>เดินสายเมนไฟฟ้า ร้อยท่อ PE undergroun จากอาคารหลัก</t>
  </si>
  <si>
    <t>รวม (3.4)</t>
  </si>
  <si>
    <t>รวม (3.1+3.2+3.3+3.4)</t>
  </si>
  <si>
    <t xml:space="preserve">แบบ ปร.4(ก)  แผ่นที่ 8 / 8 </t>
  </si>
  <si>
    <t>งานเบ็ดเตล็ด</t>
  </si>
  <si>
    <t>4.1</t>
  </si>
  <si>
    <t>งานป้ายหน้าห้อง</t>
  </si>
  <si>
    <t>ห้อง</t>
  </si>
  <si>
    <t>4.2</t>
  </si>
  <si>
    <t>งานป้ายอาคารโลหะตัวอักษรขึ้นรูป สาขาวิชาวิศวกรรมไฟฟ้า</t>
  </si>
  <si>
    <t>4.3</t>
  </si>
  <si>
    <t>ถังดับเพลิงแบบผงเคมีแห้ง ขนาด 15 ปอนด์</t>
  </si>
  <si>
    <t>รวม (4)</t>
  </si>
  <si>
    <t>แบบ ปร.4(ข)  แผ่นที่ 1 / 1</t>
  </si>
  <si>
    <t>ครุภัณฑ์</t>
  </si>
  <si>
    <t>1.1</t>
  </si>
  <si>
    <t>เครื่องปรับอากาศ แบบแยกส่วน ขนาดไม่น้อยกว่า 36,000 บีทียู</t>
  </si>
  <si>
    <t>ตัว</t>
  </si>
  <si>
    <t>ใช้ระบบไฟฟ้า 3 เฟส</t>
  </si>
  <si>
    <t>ใช้สารทำความเย็น R32</t>
  </si>
  <si>
    <t>ทำการเดินสายส่งกำลังไฟฟ้า จากตู้ LP มาที่ตู้ควบคุมกำลังไฟ</t>
  </si>
  <si>
    <t>ใช้ระบบไฟฟ้าจากตู้ควบคุมไฟฟ้าที่กำหนด</t>
  </si>
  <si>
    <t xml:space="preserve">ก่อนทำการติดตั้ง ต้องนำเสนอแบบรูปเพื่อขออนุมัติจากผู้ควบคุมงาน </t>
  </si>
  <si>
    <t>1.2</t>
  </si>
  <si>
    <t>ชุดทดลองการส่งจ่ายในระบบไฟฟ้ากำลัง พร้อมอุปกรณ์ประกอบ</t>
  </si>
  <si>
    <t>ตามเอกสารรายการครุภัณฑ์ประกอบ</t>
  </si>
  <si>
    <t>แบบ ปร.5 (ข)</t>
  </si>
  <si>
    <t>แบบสรุปค่าครุภัณฑ์</t>
  </si>
  <si>
    <t>กลุ่มงาน/งาน งานก่อสร้างอาคาร</t>
  </si>
  <si>
    <t>แบบ ปร.4(ข)  ที่แนบ  มีจำนวน                   1                 หน้า</t>
  </si>
  <si>
    <t>ค่างานต้นทุน</t>
  </si>
  <si>
    <t>Vat 7%</t>
  </si>
  <si>
    <t>ค่าก่อสร้าง</t>
  </si>
  <si>
    <t>รวมค่าก่อสร้าง</t>
  </si>
  <si>
    <t>แบบ ปร.5 (ก)</t>
  </si>
  <si>
    <t>แบบสรุปค่าก่อสร้าง</t>
  </si>
  <si>
    <t xml:space="preserve"> Factor F</t>
  </si>
  <si>
    <t>เงื่อนไขการใช้ตาราง Factor F</t>
  </si>
  <si>
    <t>เงินล่วงหน้าจ่าย…….................%</t>
  </si>
  <si>
    <t>เงินประกันผลงานหัก...............%</t>
  </si>
  <si>
    <t>ดอกเบี้ยเงินกู้..............7...........%</t>
  </si>
  <si>
    <t>ภาษีมูลค่าเพิ่ม............7............%</t>
  </si>
  <si>
    <t>ขนาดหรือเนื้อที่สิ่งก่อสร้าง  จำนวน</t>
  </si>
  <si>
    <t>ตร.ม. เฉลี่ย</t>
  </si>
  <si>
    <t>บาท/ตร.ม.</t>
  </si>
  <si>
    <t>แบบ ปร.6 แผ่นที่ 1 / 1</t>
  </si>
  <si>
    <t>แบบสรุปราคากลางงานก่อสร้าง</t>
  </si>
  <si>
    <t>หน่วยงานเจ้าของโครงการ/งานก่อสร้าง</t>
  </si>
  <si>
    <t>แบบ ปร.4 และ ปร.5   ที่แนบ  มีจำนวน                               2    ชุด</t>
  </si>
  <si>
    <t>ค่าครุภัณฑ์</t>
  </si>
  <si>
    <t>สรุป</t>
  </si>
  <si>
    <t>รวมค่าก่อสร้างทั้งโครงการ/งานก่อสร้าง</t>
  </si>
  <si>
    <t>เงื่อนไข</t>
  </si>
  <si>
    <t>เงินล่วงหน้าจ่าย</t>
  </si>
  <si>
    <t>ดอกเบี้ยเงินกู้</t>
  </si>
  <si>
    <t>ต่อปี</t>
  </si>
  <si>
    <t>เงินประกันผลงานหัก</t>
  </si>
  <si>
    <t>ภาษีมูลค่าเพิ่ม</t>
  </si>
  <si>
    <t>เมื่อ</t>
  </si>
  <si>
    <t>ต้องการหาค่า Factor F ของค่างานต้นทุน</t>
  </si>
  <si>
    <t>=</t>
  </si>
  <si>
    <t>A</t>
  </si>
  <si>
    <t>บาท</t>
  </si>
  <si>
    <t>ค่างานต้นทุนตัวต่ำกว่าค่างานต้นทุน A</t>
  </si>
  <si>
    <t>B</t>
  </si>
  <si>
    <t>ค่างานต้นทุนตัวสูงกว่าค่างานต้นทุน A</t>
  </si>
  <si>
    <t>C</t>
  </si>
  <si>
    <t>ค่า Factor F ของค่างานต้นทุน B</t>
  </si>
  <si>
    <t>D</t>
  </si>
  <si>
    <t>ค่า Factor F ของค่างานต้นทุน C</t>
  </si>
  <si>
    <t>E</t>
  </si>
  <si>
    <t>แทนค่าสูตร</t>
  </si>
  <si>
    <t>ค่า Factor F</t>
  </si>
  <si>
    <t>x</t>
  </si>
  <si>
    <t>ค่าFactor F</t>
  </si>
  <si>
    <t>งานดิน</t>
  </si>
  <si>
    <t>ปริมาณ</t>
  </si>
  <si>
    <t>ถมสูง/เมตร</t>
  </si>
  <si>
    <t>ปริมาตร</t>
  </si>
  <si>
    <t>ดินถม</t>
  </si>
  <si>
    <t>ขุดดินฐานราก+ถมคืน</t>
  </si>
  <si>
    <t>ปริมาตร/ฐาน</t>
  </si>
  <si>
    <t>ขุดดิน</t>
  </si>
  <si>
    <t>ถมคืน(ดินขุด-ฐานราก/ตอม่อ)</t>
  </si>
  <si>
    <t>ทรายหยาบ F1</t>
  </si>
  <si>
    <t>1.2x1.2x.1x1.3</t>
  </si>
  <si>
    <t>ทรายหยาบ SG(0.1x104x1.3)</t>
  </si>
  <si>
    <t>รวมทรายหยาบ</t>
  </si>
  <si>
    <t>คอนกรีตหยาบ 1:3:5</t>
  </si>
  <si>
    <t>1.2x1.2x.05x1.15</t>
  </si>
  <si>
    <t>คอนกรีตผสมเสร็จ</t>
  </si>
  <si>
    <t>ปริมาตร/ชุด</t>
  </si>
  <si>
    <t>F1</t>
  </si>
  <si>
    <t>1.2x1.2x0.3x1.15</t>
  </si>
  <si>
    <t>C1</t>
  </si>
  <si>
    <t>0.2x0.2x5.0x1.15</t>
  </si>
  <si>
    <t>B1</t>
  </si>
  <si>
    <t>0.15x0.40x1.15</t>
  </si>
  <si>
    <t>SG</t>
  </si>
  <si>
    <t>0.10x1.15</t>
  </si>
  <si>
    <t>รวมคอนกรีต</t>
  </si>
  <si>
    <t>RB6</t>
  </si>
  <si>
    <t>นน./เมตร</t>
  </si>
  <si>
    <t>นน.</t>
  </si>
  <si>
    <t>(32/0.2)x0.90x1.15</t>
  </si>
  <si>
    <t>(40/0.15)x0.6x1.15</t>
  </si>
  <si>
    <t>รวม RB6</t>
  </si>
  <si>
    <t>RB9</t>
  </si>
  <si>
    <t>(1.15x4x8x1.15)</t>
  </si>
  <si>
    <t>DB12</t>
  </si>
  <si>
    <t>(1.7x14x8x1.15)</t>
  </si>
  <si>
    <t>(32x5x1.2)</t>
  </si>
  <si>
    <t>(40x4x1.2)</t>
  </si>
  <si>
    <t>รวม BD12</t>
  </si>
  <si>
    <t>wiremesh</t>
  </si>
  <si>
    <t>งานพื้น</t>
  </si>
  <si>
    <t>2.3x2.15</t>
  </si>
  <si>
    <t>(8x8)</t>
  </si>
  <si>
    <t>(104-64)</t>
  </si>
  <si>
    <t>งานผนัง</t>
  </si>
  <si>
    <t>((4x3)-3.38)*7</t>
  </si>
  <si>
    <t>((4x3)-4.945</t>
  </si>
  <si>
    <t>5.5x2</t>
  </si>
  <si>
    <t>12x2</t>
  </si>
  <si>
    <t>โครงเคร่า</t>
  </si>
  <si>
    <t>1"x1"</t>
  </si>
  <si>
    <t>21+8+2+1.5+2.6+1.7+1.3</t>
  </si>
  <si>
    <t>คำนวณราคาโดยคณะกรรมการจัดทำราคากลาง</t>
  </si>
  <si>
    <t>แบบ ปร.4(ก)  ที่แนบ  มีจำนวน                   8                 หน้า</t>
  </si>
  <si>
    <t>คำนวณราคากลาง                    เมื่อวันที่</t>
  </si>
  <si>
    <t xml:space="preserve">ชื่อโครงการ/งานก่อสร้าง ปรับปรุงห้องปฏิบัติการวิศวกรรมไฟฟ้า  พร้อมครุภัณฑ์ ตําบลกาฬสินธุ์ </t>
  </si>
  <si>
    <t>ชื่อโครงการ/งานก่อสร้าง ปรับปรุงห้องปฏิบัติการวิศวกรรมไฟฟ้า  พร้อมครุภัณฑ์ ตําบลกาฬสินธุ์ อําเภอเมืองกาฬสินธุ์</t>
  </si>
  <si>
    <t xml:space="preserve">                      จังหวัดกาฬสินธุ์ 1 งาน</t>
  </si>
  <si>
    <t xml:space="preserve">                        จังหวัดกาฬสินธุ์ 1 งาน</t>
  </si>
  <si>
    <t>ราคากลาง</t>
  </si>
  <si>
    <t>อําเภอเมืองกาฬสินธุ์  จังหวัดกาฬสินธุ์ 1 งาน</t>
  </si>
  <si>
    <t>คำนวณราคากลาง                           เมื่อวันที่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</si>
</sst>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_-;\-* #,##0.00_-;_-* &quot;-&quot;??_-;_-@_-"/>
    <numFmt numFmtId="164" formatCode="_(* #,##0.00_);_(* \(#,##0.00\);_(* &quot;-&quot;??_);_(@_)"/>
    <numFmt numFmtId="165" formatCode="_(* #,##0.0000_);_(* \(#,##0.0000\);_(* &quot;-&quot;??_);_(@_)"/>
    <numFmt numFmtId="166" formatCode="0.0000000000"/>
    <numFmt numFmtId="167" formatCode="_-* #,##0.000000000_-;\-* #,##0.000000000_-;_-* &quot;-&quot;??_-;_-@_-"/>
    <numFmt numFmtId="168" formatCode="_-* #,##0.0000_-;\-* #,##0.0000_-;_-* &quot;-&quot;??_-;_-@_-"/>
    <numFmt numFmtId="169" formatCode="_(* #,##0.0000_);_(* \(#,##0.0000\);_(* &quot;-&quot;????_);_(@_)"/>
    <numFmt numFmtId="170" formatCode="_(* #,##0.00_);_(* \(#,##0.00\);_(* &quot;-&quot;????_);_(@_)"/>
    <numFmt numFmtId="171" formatCode="#,##0.00_ ;\-#,##0.00\ "/>
  </numFmts>
  <fonts count="15">
    <font>
      <sz val="11"/>
      <color theme="1"/>
      <name val="Calibri"/>
      <charset val="222"/>
      <scheme val="minor"/>
    </font>
    <font>
      <sz val="16"/>
      <name val="AngsanaUPC"/>
      <family val="1"/>
    </font>
    <font>
      <b/>
      <sz val="16"/>
      <name val="AngsanaUPC"/>
      <family val="1"/>
    </font>
    <font>
      <b/>
      <sz val="16"/>
      <name val="AngsanaUPC"/>
      <family val="1"/>
    </font>
    <font>
      <b/>
      <sz val="16"/>
      <color indexed="10"/>
      <name val="AngsanaUPC"/>
      <family val="1"/>
    </font>
    <font>
      <sz val="11"/>
      <color indexed="8"/>
      <name val="Tahoma"/>
      <family val="2"/>
    </font>
    <font>
      <b/>
      <sz val="16"/>
      <name val="TH Sarabun New"/>
      <family val="2"/>
    </font>
    <font>
      <sz val="16"/>
      <name val="TH Sarabun New"/>
      <family val="2"/>
    </font>
    <font>
      <b/>
      <sz val="18"/>
      <name val="TH Sarabun New"/>
      <family val="2"/>
    </font>
    <font>
      <sz val="14"/>
      <name val="TH Sarabun New"/>
      <family val="2"/>
    </font>
    <font>
      <b/>
      <sz val="14"/>
      <name val="TH Sarabun New"/>
      <family val="2"/>
    </font>
    <font>
      <sz val="14"/>
      <color theme="1"/>
      <name val="TH Sarabun New"/>
      <family val="2"/>
    </font>
    <font>
      <sz val="15"/>
      <name val="TH Sarabun New"/>
      <family val="2"/>
    </font>
    <font>
      <b/>
      <sz val="15"/>
      <name val="TH Sarabun New"/>
      <family val="2"/>
    </font>
    <font>
      <sz val="15"/>
      <color theme="1"/>
      <name val="TH Sarabun New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6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/>
      <top style="double">
        <color auto="1"/>
      </top>
      <bottom style="hair">
        <color auto="1"/>
      </bottom>
      <diagonal/>
    </border>
    <border>
      <left/>
      <right style="thin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double">
        <color auto="1"/>
      </right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68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/>
    <xf numFmtId="0" fontId="0" fillId="0" borderId="5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0" xfId="0" applyFont="1"/>
    <xf numFmtId="0" fontId="2" fillId="0" borderId="0" xfId="0" applyFont="1"/>
    <xf numFmtId="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165" fontId="2" fillId="0" borderId="0" xfId="0" applyNumberFormat="1" applyFont="1" applyAlignment="1">
      <alignment horizontal="left"/>
    </xf>
    <xf numFmtId="166" fontId="2" fillId="0" borderId="0" xfId="0" applyNumberFormat="1" applyFont="1"/>
    <xf numFmtId="43" fontId="1" fillId="0" borderId="0" xfId="0" applyNumberFormat="1" applyFont="1"/>
    <xf numFmtId="167" fontId="1" fillId="0" borderId="0" xfId="0" applyNumberFormat="1" applyFont="1"/>
    <xf numFmtId="0" fontId="7" fillId="0" borderId="0" xfId="0" applyFont="1"/>
    <xf numFmtId="0" fontId="6" fillId="0" borderId="12" xfId="0" applyFont="1" applyBorder="1"/>
    <xf numFmtId="0" fontId="7" fillId="0" borderId="12" xfId="0" applyFont="1" applyBorder="1"/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19" xfId="0" applyFont="1" applyBorder="1"/>
    <xf numFmtId="0" fontId="7" fillId="0" borderId="23" xfId="0" applyFont="1" applyBorder="1"/>
    <xf numFmtId="0" fontId="7" fillId="0" borderId="24" xfId="0" applyFont="1" applyBorder="1"/>
    <xf numFmtId="0" fontId="7" fillId="0" borderId="25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28" xfId="0" applyFont="1" applyBorder="1"/>
    <xf numFmtId="0" fontId="6" fillId="0" borderId="29" xfId="0" applyFont="1" applyBorder="1"/>
    <xf numFmtId="0" fontId="6" fillId="0" borderId="34" xfId="0" applyFont="1" applyBorder="1" applyAlignment="1">
      <alignment horizontal="center"/>
    </xf>
    <xf numFmtId="0" fontId="6" fillId="0" borderId="36" xfId="0" applyFont="1" applyBorder="1" applyAlignment="1">
      <alignment horizontal="right"/>
    </xf>
    <xf numFmtId="0" fontId="6" fillId="0" borderId="4" xfId="0" applyFont="1" applyBorder="1"/>
    <xf numFmtId="0" fontId="7" fillId="0" borderId="37" xfId="0" applyFont="1" applyBorder="1"/>
    <xf numFmtId="0" fontId="7" fillId="0" borderId="30" xfId="0" applyFont="1" applyBorder="1"/>
    <xf numFmtId="0" fontId="7" fillId="0" borderId="38" xfId="0" applyFont="1" applyBorder="1"/>
    <xf numFmtId="0" fontId="7" fillId="0" borderId="32" xfId="0" applyFont="1" applyBorder="1"/>
    <xf numFmtId="0" fontId="7" fillId="0" borderId="7" xfId="0" applyFont="1" applyBorder="1"/>
    <xf numFmtId="0" fontId="6" fillId="0" borderId="39" xfId="0" applyFont="1" applyBorder="1"/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18" xfId="0" applyFont="1" applyBorder="1" applyAlignment="1">
      <alignment horizontal="center"/>
    </xf>
    <xf numFmtId="43" fontId="7" fillId="0" borderId="19" xfId="1" applyFont="1" applyBorder="1"/>
    <xf numFmtId="0" fontId="7" fillId="0" borderId="41" xfId="0" applyFont="1" applyBorder="1"/>
    <xf numFmtId="0" fontId="7" fillId="0" borderId="23" xfId="0" applyFont="1" applyBorder="1" applyAlignment="1">
      <alignment horizontal="center"/>
    </xf>
    <xf numFmtId="43" fontId="7" fillId="0" borderId="24" xfId="1" applyFont="1" applyBorder="1"/>
    <xf numFmtId="168" fontId="7" fillId="0" borderId="24" xfId="1" applyNumberFormat="1" applyFont="1" applyBorder="1"/>
    <xf numFmtId="0" fontId="7" fillId="0" borderId="42" xfId="0" applyFont="1" applyBorder="1"/>
    <xf numFmtId="0" fontId="7" fillId="0" borderId="43" xfId="0" applyFont="1" applyBorder="1"/>
    <xf numFmtId="0" fontId="6" fillId="0" borderId="44" xfId="0" applyFont="1" applyBorder="1"/>
    <xf numFmtId="0" fontId="7" fillId="0" borderId="29" xfId="0" applyFont="1" applyBorder="1"/>
    <xf numFmtId="0" fontId="7" fillId="0" borderId="45" xfId="0" applyFont="1" applyBorder="1"/>
    <xf numFmtId="43" fontId="7" fillId="0" borderId="0" xfId="1" applyFont="1"/>
    <xf numFmtId="0" fontId="7" fillId="0" borderId="0" xfId="0" applyFont="1" applyAlignment="1">
      <alignment horizontal="center"/>
    </xf>
    <xf numFmtId="43" fontId="7" fillId="0" borderId="19" xfId="0" applyNumberFormat="1" applyFont="1" applyBorder="1"/>
    <xf numFmtId="0" fontId="9" fillId="0" borderId="0" xfId="0" applyFont="1"/>
    <xf numFmtId="0" fontId="6" fillId="0" borderId="0" xfId="0" applyFont="1"/>
    <xf numFmtId="0" fontId="6" fillId="0" borderId="12" xfId="0" applyFont="1" applyBorder="1" applyAlignment="1">
      <alignment horizontal="right"/>
    </xf>
    <xf numFmtId="0" fontId="6" fillId="0" borderId="4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50" xfId="0" applyFont="1" applyBorder="1" applyAlignment="1">
      <alignment horizontal="left"/>
    </xf>
    <xf numFmtId="43" fontId="6" fillId="0" borderId="34" xfId="1" applyFont="1" applyBorder="1"/>
    <xf numFmtId="0" fontId="6" fillId="0" borderId="34" xfId="1" applyNumberFormat="1" applyFont="1" applyBorder="1" applyAlignment="1">
      <alignment horizontal="center"/>
    </xf>
    <xf numFmtId="43" fontId="6" fillId="0" borderId="19" xfId="1" applyFont="1" applyBorder="1"/>
    <xf numFmtId="0" fontId="10" fillId="0" borderId="0" xfId="0" applyFont="1"/>
    <xf numFmtId="49" fontId="7" fillId="0" borderId="51" xfId="0" applyNumberFormat="1" applyFont="1" applyBorder="1" applyAlignment="1">
      <alignment horizontal="center"/>
    </xf>
    <xf numFmtId="0" fontId="9" fillId="0" borderId="24" xfId="0" applyFont="1" applyBorder="1"/>
    <xf numFmtId="43" fontId="11" fillId="0" borderId="24" xfId="1" applyFont="1" applyBorder="1" applyAlignment="1">
      <alignment horizontal="center" vertical="center"/>
    </xf>
    <xf numFmtId="0" fontId="7" fillId="0" borderId="24" xfId="0" applyFont="1" applyBorder="1" applyAlignment="1">
      <alignment horizontal="center"/>
    </xf>
    <xf numFmtId="164" fontId="7" fillId="0" borderId="39" xfId="0" applyNumberFormat="1" applyFont="1" applyBorder="1"/>
    <xf numFmtId="43" fontId="7" fillId="0" borderId="47" xfId="1" applyFont="1" applyBorder="1"/>
    <xf numFmtId="164" fontId="7" fillId="0" borderId="47" xfId="0" applyNumberFormat="1" applyFont="1" applyBorder="1" applyAlignment="1">
      <alignment horizontal="center"/>
    </xf>
    <xf numFmtId="164" fontId="7" fillId="0" borderId="12" xfId="0" applyNumberFormat="1" applyFont="1" applyBorder="1"/>
    <xf numFmtId="164" fontId="7" fillId="0" borderId="24" xfId="0" applyNumberFormat="1" applyFont="1" applyBorder="1" applyAlignment="1">
      <alignment horizontal="center"/>
    </xf>
    <xf numFmtId="164" fontId="7" fillId="0" borderId="24" xfId="1" applyNumberFormat="1" applyFont="1" applyBorder="1"/>
    <xf numFmtId="164" fontId="7" fillId="0" borderId="12" xfId="0" applyNumberFormat="1" applyFont="1" applyBorder="1" applyAlignment="1">
      <alignment horizontal="left"/>
    </xf>
    <xf numFmtId="4" fontId="7" fillId="0" borderId="24" xfId="1" applyNumberFormat="1" applyFont="1" applyBorder="1"/>
    <xf numFmtId="0" fontId="7" fillId="0" borderId="51" xfId="0" applyFont="1" applyBorder="1" applyAlignment="1">
      <alignment horizontal="center"/>
    </xf>
    <xf numFmtId="49" fontId="7" fillId="0" borderId="12" xfId="0" applyNumberFormat="1" applyFont="1" applyBorder="1" applyAlignment="1">
      <alignment horizontal="left"/>
    </xf>
    <xf numFmtId="49" fontId="7" fillId="0" borderId="52" xfId="0" applyNumberFormat="1" applyFont="1" applyBorder="1"/>
    <xf numFmtId="43" fontId="7" fillId="0" borderId="51" xfId="1" applyFont="1" applyBorder="1"/>
    <xf numFmtId="0" fontId="7" fillId="0" borderId="39" xfId="0" applyFont="1" applyBorder="1" applyAlignment="1">
      <alignment horizontal="left"/>
    </xf>
    <xf numFmtId="43" fontId="7" fillId="0" borderId="36" xfId="1" applyFont="1" applyBorder="1"/>
    <xf numFmtId="43" fontId="7" fillId="0" borderId="36" xfId="1" applyFont="1" applyBorder="1" applyAlignment="1">
      <alignment horizontal="center"/>
    </xf>
    <xf numFmtId="49" fontId="7" fillId="0" borderId="12" xfId="0" applyNumberFormat="1" applyFont="1" applyBorder="1"/>
    <xf numFmtId="49" fontId="6" fillId="0" borderId="51" xfId="0" applyNumberFormat="1" applyFont="1" applyBorder="1" applyAlignment="1">
      <alignment horizontal="center"/>
    </xf>
    <xf numFmtId="49" fontId="6" fillId="0" borderId="12" xfId="0" applyNumberFormat="1" applyFont="1" applyBorder="1" applyAlignment="1">
      <alignment horizontal="center"/>
    </xf>
    <xf numFmtId="43" fontId="6" fillId="0" borderId="24" xfId="1" applyFont="1" applyBorder="1"/>
    <xf numFmtId="0" fontId="6" fillId="0" borderId="24" xfId="0" applyFont="1" applyBorder="1" applyAlignment="1">
      <alignment horizontal="center"/>
    </xf>
    <xf numFmtId="43" fontId="6" fillId="0" borderId="51" xfId="1" applyFont="1" applyBorder="1"/>
    <xf numFmtId="43" fontId="7" fillId="0" borderId="51" xfId="1" applyFont="1" applyBorder="1" applyAlignment="1">
      <alignment horizontal="center"/>
    </xf>
    <xf numFmtId="0" fontId="6" fillId="0" borderId="51" xfId="0" applyFont="1" applyBorder="1" applyAlignment="1">
      <alignment horizontal="center"/>
    </xf>
    <xf numFmtId="49" fontId="6" fillId="0" borderId="53" xfId="0" applyNumberFormat="1" applyFont="1" applyBorder="1" applyAlignment="1">
      <alignment horizontal="center"/>
    </xf>
    <xf numFmtId="43" fontId="6" fillId="0" borderId="53" xfId="1" applyFont="1" applyBorder="1"/>
    <xf numFmtId="0" fontId="9" fillId="0" borderId="6" xfId="0" applyFont="1" applyBorder="1"/>
    <xf numFmtId="0" fontId="9" fillId="0" borderId="7" xfId="0" applyFont="1" applyBorder="1"/>
    <xf numFmtId="0" fontId="9" fillId="0" borderId="8" xfId="0" applyFont="1" applyBorder="1"/>
    <xf numFmtId="43" fontId="9" fillId="0" borderId="0" xfId="1" applyFont="1"/>
    <xf numFmtId="0" fontId="6" fillId="0" borderId="25" xfId="0" applyFont="1" applyBorder="1"/>
    <xf numFmtId="43" fontId="6" fillId="0" borderId="19" xfId="1" applyFont="1" applyBorder="1" applyAlignment="1">
      <alignment horizontal="center"/>
    </xf>
    <xf numFmtId="43" fontId="10" fillId="0" borderId="19" xfId="1" applyFont="1" applyBorder="1"/>
    <xf numFmtId="169" fontId="10" fillId="0" borderId="0" xfId="0" applyNumberFormat="1" applyFont="1"/>
    <xf numFmtId="43" fontId="10" fillId="0" borderId="0" xfId="1" applyFont="1"/>
    <xf numFmtId="164" fontId="7" fillId="0" borderId="24" xfId="0" applyNumberFormat="1" applyFont="1" applyBorder="1"/>
    <xf numFmtId="169" fontId="9" fillId="0" borderId="0" xfId="0" applyNumberFormat="1" applyFont="1"/>
    <xf numFmtId="170" fontId="9" fillId="0" borderId="0" xfId="0" applyNumberFormat="1" applyFont="1"/>
    <xf numFmtId="164" fontId="7" fillId="0" borderId="24" xfId="1" applyNumberFormat="1" applyFont="1" applyBorder="1" applyAlignment="1">
      <alignment horizontal="center"/>
    </xf>
    <xf numFmtId="164" fontId="6" fillId="0" borderId="0" xfId="0" applyNumberFormat="1" applyFont="1" applyAlignment="1">
      <alignment horizontal="center"/>
    </xf>
    <xf numFmtId="164" fontId="6" fillId="0" borderId="24" xfId="1" applyNumberFormat="1" applyFont="1" applyBorder="1" applyAlignment="1">
      <alignment horizontal="center"/>
    </xf>
    <xf numFmtId="43" fontId="10" fillId="0" borderId="24" xfId="1" applyFont="1" applyBorder="1"/>
    <xf numFmtId="170" fontId="10" fillId="0" borderId="0" xfId="0" applyNumberFormat="1" applyFont="1"/>
    <xf numFmtId="164" fontId="6" fillId="0" borderId="12" xfId="0" applyNumberFormat="1" applyFont="1" applyBorder="1"/>
    <xf numFmtId="164" fontId="6" fillId="0" borderId="0" xfId="0" applyNumberFormat="1" applyFont="1" applyAlignment="1">
      <alignment horizontal="left"/>
    </xf>
    <xf numFmtId="164" fontId="6" fillId="0" borderId="24" xfId="0" applyNumberFormat="1" applyFont="1" applyBorder="1" applyAlignment="1">
      <alignment horizontal="center"/>
    </xf>
    <xf numFmtId="49" fontId="7" fillId="0" borderId="24" xfId="0" applyNumberFormat="1" applyFont="1" applyBorder="1" applyAlignment="1">
      <alignment horizontal="center"/>
    </xf>
    <xf numFmtId="49" fontId="6" fillId="0" borderId="12" xfId="0" applyNumberFormat="1" applyFont="1" applyBorder="1" applyAlignment="1">
      <alignment horizontal="left"/>
    </xf>
    <xf numFmtId="49" fontId="7" fillId="0" borderId="51" xfId="0" applyNumberFormat="1" applyFont="1" applyFill="1" applyBorder="1" applyAlignment="1">
      <alignment horizontal="center"/>
    </xf>
    <xf numFmtId="49" fontId="7" fillId="0" borderId="12" xfId="0" applyNumberFormat="1" applyFont="1" applyFill="1" applyBorder="1"/>
    <xf numFmtId="164" fontId="7" fillId="0" borderId="24" xfId="0" applyNumberFormat="1" applyFont="1" applyFill="1" applyBorder="1" applyAlignment="1">
      <alignment horizontal="center"/>
    </xf>
    <xf numFmtId="43" fontId="9" fillId="0" borderId="51" xfId="1" applyFont="1" applyFill="1" applyBorder="1"/>
    <xf numFmtId="43" fontId="9" fillId="0" borderId="0" xfId="1" applyFont="1" applyFill="1"/>
    <xf numFmtId="0" fontId="7" fillId="0" borderId="51" xfId="0" applyFont="1" applyFill="1" applyBorder="1" applyAlignment="1">
      <alignment horizontal="center"/>
    </xf>
    <xf numFmtId="49" fontId="7" fillId="0" borderId="12" xfId="0" applyNumberFormat="1" applyFont="1" applyFill="1" applyBorder="1" applyAlignment="1">
      <alignment horizontal="left"/>
    </xf>
    <xf numFmtId="0" fontId="7" fillId="0" borderId="24" xfId="0" applyFont="1" applyFill="1" applyBorder="1" applyAlignment="1">
      <alignment horizontal="center"/>
    </xf>
    <xf numFmtId="43" fontId="12" fillId="0" borderId="51" xfId="1" applyFont="1" applyFill="1" applyBorder="1"/>
    <xf numFmtId="43" fontId="10" fillId="0" borderId="0" xfId="1" applyFont="1" applyFill="1"/>
    <xf numFmtId="49" fontId="7" fillId="0" borderId="51" xfId="0" applyNumberFormat="1" applyFont="1" applyBorder="1" applyAlignment="1">
      <alignment horizontal="left"/>
    </xf>
    <xf numFmtId="0" fontId="7" fillId="0" borderId="53" xfId="0" applyFont="1" applyBorder="1" applyAlignment="1">
      <alignment horizontal="center"/>
    </xf>
    <xf numFmtId="49" fontId="7" fillId="0" borderId="53" xfId="0" applyNumberFormat="1" applyFont="1" applyBorder="1" applyAlignment="1">
      <alignment horizontal="left"/>
    </xf>
    <xf numFmtId="43" fontId="7" fillId="0" borderId="53" xfId="1" applyFont="1" applyBorder="1" applyAlignment="1">
      <alignment horizontal="center"/>
    </xf>
    <xf numFmtId="43" fontId="7" fillId="0" borderId="53" xfId="1" applyFont="1" applyBorder="1"/>
    <xf numFmtId="0" fontId="7" fillId="0" borderId="19" xfId="0" applyFont="1" applyBorder="1" applyAlignment="1">
      <alignment horizontal="center"/>
    </xf>
    <xf numFmtId="0" fontId="9" fillId="0" borderId="25" xfId="0" applyFont="1" applyBorder="1"/>
    <xf numFmtId="43" fontId="7" fillId="0" borderId="19" xfId="1" applyFont="1" applyBorder="1" applyAlignment="1">
      <alignment horizontal="center"/>
    </xf>
    <xf numFmtId="49" fontId="7" fillId="0" borderId="24" xfId="0" applyNumberFormat="1" applyFont="1" applyBorder="1"/>
    <xf numFmtId="0" fontId="6" fillId="0" borderId="25" xfId="0" applyFont="1" applyBorder="1" applyAlignment="1">
      <alignment horizontal="center"/>
    </xf>
    <xf numFmtId="49" fontId="6" fillId="0" borderId="25" xfId="0" applyNumberFormat="1" applyFont="1" applyBorder="1" applyAlignment="1">
      <alignment horizontal="center"/>
    </xf>
    <xf numFmtId="164" fontId="6" fillId="0" borderId="24" xfId="1" applyNumberFormat="1" applyFont="1" applyBorder="1"/>
    <xf numFmtId="49" fontId="6" fillId="0" borderId="24" xfId="0" applyNumberFormat="1" applyFont="1" applyBorder="1" applyAlignment="1">
      <alignment horizontal="left"/>
    </xf>
    <xf numFmtId="49" fontId="7" fillId="0" borderId="25" xfId="0" applyNumberFormat="1" applyFont="1" applyBorder="1" applyAlignment="1">
      <alignment horizontal="center"/>
    </xf>
    <xf numFmtId="49" fontId="7" fillId="0" borderId="24" xfId="0" applyNumberFormat="1" applyFont="1" applyBorder="1" applyAlignment="1">
      <alignment horizontal="left"/>
    </xf>
    <xf numFmtId="49" fontId="7" fillId="0" borderId="47" xfId="0" applyNumberFormat="1" applyFont="1" applyBorder="1" applyAlignment="1">
      <alignment horizontal="left"/>
    </xf>
    <xf numFmtId="43" fontId="9" fillId="0" borderId="0" xfId="0" applyNumberFormat="1" applyFont="1"/>
    <xf numFmtId="43" fontId="7" fillId="0" borderId="24" xfId="0" applyNumberFormat="1" applyFont="1" applyBorder="1" applyAlignment="1">
      <alignment horizontal="center"/>
    </xf>
    <xf numFmtId="49" fontId="7" fillId="0" borderId="54" xfId="0" applyNumberFormat="1" applyFont="1" applyBorder="1" applyAlignment="1">
      <alignment horizontal="center"/>
    </xf>
    <xf numFmtId="49" fontId="9" fillId="0" borderId="47" xfId="0" applyNumberFormat="1" applyFont="1" applyBorder="1" applyAlignment="1">
      <alignment horizontal="center"/>
    </xf>
    <xf numFmtId="0" fontId="7" fillId="0" borderId="56" xfId="0" applyFont="1" applyBorder="1"/>
    <xf numFmtId="43" fontId="7" fillId="0" borderId="47" xfId="1" applyFont="1" applyBorder="1" applyAlignment="1">
      <alignment horizontal="center"/>
    </xf>
    <xf numFmtId="43" fontId="7" fillId="0" borderId="24" xfId="0" applyNumberFormat="1" applyFont="1" applyBorder="1"/>
    <xf numFmtId="49" fontId="9" fillId="0" borderId="24" xfId="0" applyNumberFormat="1" applyFont="1" applyBorder="1"/>
    <xf numFmtId="0" fontId="9" fillId="0" borderId="36" xfId="0" applyFont="1" applyBorder="1"/>
    <xf numFmtId="49" fontId="6" fillId="0" borderId="24" xfId="0" applyNumberFormat="1" applyFont="1" applyBorder="1" applyAlignment="1">
      <alignment horizontal="center"/>
    </xf>
    <xf numFmtId="43" fontId="6" fillId="0" borderId="24" xfId="1" applyFont="1" applyBorder="1" applyAlignment="1">
      <alignment horizontal="center"/>
    </xf>
    <xf numFmtId="49" fontId="6" fillId="0" borderId="43" xfId="0" applyNumberFormat="1" applyFont="1" applyBorder="1" applyAlignment="1">
      <alignment horizontal="center"/>
    </xf>
    <xf numFmtId="164" fontId="6" fillId="0" borderId="53" xfId="0" applyNumberFormat="1" applyFont="1" applyBorder="1" applyAlignment="1">
      <alignment horizontal="center"/>
    </xf>
    <xf numFmtId="164" fontId="6" fillId="0" borderId="24" xfId="0" applyNumberFormat="1" applyFont="1" applyBorder="1"/>
    <xf numFmtId="164" fontId="7" fillId="0" borderId="24" xfId="0" quotePrefix="1" applyNumberFormat="1" applyFont="1" applyBorder="1"/>
    <xf numFmtId="49" fontId="7" fillId="0" borderId="25" xfId="0" applyNumberFormat="1" applyFont="1" applyBorder="1" applyAlignment="1">
      <alignment horizontal="left"/>
    </xf>
    <xf numFmtId="164" fontId="7" fillId="0" borderId="24" xfId="0" applyNumberFormat="1" applyFont="1" applyBorder="1" applyAlignment="1">
      <alignment horizontal="left"/>
    </xf>
    <xf numFmtId="164" fontId="7" fillId="0" borderId="24" xfId="0" quotePrefix="1" applyNumberFormat="1" applyFont="1" applyBorder="1" applyAlignment="1">
      <alignment horizontal="left"/>
    </xf>
    <xf numFmtId="164" fontId="7" fillId="0" borderId="24" xfId="0" quotePrefix="1" applyNumberFormat="1" applyFont="1" applyBorder="1" applyAlignment="1">
      <alignment horizontal="center"/>
    </xf>
    <xf numFmtId="43" fontId="7" fillId="0" borderId="24" xfId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49" fontId="6" fillId="0" borderId="47" xfId="0" applyNumberFormat="1" applyFont="1" applyBorder="1" applyAlignment="1">
      <alignment horizontal="left"/>
    </xf>
    <xf numFmtId="49" fontId="7" fillId="0" borderId="53" xfId="0" applyNumberFormat="1" applyFont="1" applyBorder="1" applyAlignment="1">
      <alignment horizontal="center"/>
    </xf>
    <xf numFmtId="0" fontId="6" fillId="0" borderId="25" xfId="0" applyFont="1" applyBorder="1" applyAlignment="1">
      <alignment horizontal="left"/>
    </xf>
    <xf numFmtId="49" fontId="6" fillId="0" borderId="47" xfId="0" applyNumberFormat="1" applyFont="1" applyBorder="1" applyAlignment="1">
      <alignment horizontal="center"/>
    </xf>
    <xf numFmtId="0" fontId="13" fillId="0" borderId="49" xfId="0" applyFont="1" applyBorder="1" applyAlignment="1">
      <alignment horizontal="center"/>
    </xf>
    <xf numFmtId="0" fontId="13" fillId="0" borderId="29" xfId="0" applyFont="1" applyBorder="1" applyAlignment="1">
      <alignment horizontal="center"/>
    </xf>
    <xf numFmtId="0" fontId="12" fillId="0" borderId="0" xfId="0" applyFont="1"/>
    <xf numFmtId="43" fontId="12" fillId="0" borderId="0" xfId="1" applyFont="1"/>
    <xf numFmtId="49" fontId="6" fillId="0" borderId="59" xfId="0" applyNumberFormat="1" applyFont="1" applyBorder="1" applyAlignment="1">
      <alignment horizontal="center"/>
    </xf>
    <xf numFmtId="49" fontId="6" fillId="0" borderId="60" xfId="0" applyNumberFormat="1" applyFont="1" applyBorder="1" applyAlignment="1">
      <alignment horizontal="center"/>
    </xf>
    <xf numFmtId="43" fontId="6" fillId="0" borderId="59" xfId="1" applyFont="1" applyBorder="1"/>
    <xf numFmtId="0" fontId="6" fillId="0" borderId="59" xfId="0" applyFont="1" applyBorder="1" applyAlignment="1">
      <alignment horizontal="center"/>
    </xf>
    <xf numFmtId="43" fontId="14" fillId="0" borderId="24" xfId="1" applyFont="1" applyBorder="1" applyAlignment="1">
      <alignment horizontal="center" vertical="center"/>
    </xf>
    <xf numFmtId="168" fontId="7" fillId="0" borderId="34" xfId="1" applyNumberFormat="1" applyFont="1" applyBorder="1"/>
    <xf numFmtId="0" fontId="7" fillId="0" borderId="61" xfId="0" applyFont="1" applyBorder="1"/>
    <xf numFmtId="171" fontId="7" fillId="0" borderId="24" xfId="1" applyNumberFormat="1" applyFont="1" applyBorder="1"/>
    <xf numFmtId="171" fontId="6" fillId="0" borderId="24" xfId="1" applyNumberFormat="1" applyFont="1" applyBorder="1"/>
    <xf numFmtId="171" fontId="7" fillId="0" borderId="24" xfId="1" applyNumberFormat="1" applyFont="1" applyFill="1" applyBorder="1"/>
    <xf numFmtId="171" fontId="6" fillId="0" borderId="51" xfId="1" applyNumberFormat="1" applyFont="1" applyBorder="1"/>
    <xf numFmtId="171" fontId="7" fillId="0" borderId="53" xfId="1" applyNumberFormat="1" applyFont="1" applyBorder="1"/>
    <xf numFmtId="4" fontId="6" fillId="0" borderId="24" xfId="1" applyNumberFormat="1" applyFont="1" applyBorder="1"/>
    <xf numFmtId="4" fontId="7" fillId="0" borderId="24" xfId="1" applyNumberFormat="1" applyFont="1" applyFill="1" applyBorder="1"/>
    <xf numFmtId="4" fontId="6" fillId="0" borderId="51" xfId="1" applyNumberFormat="1" applyFont="1" applyBorder="1"/>
    <xf numFmtId="4" fontId="7" fillId="0" borderId="53" xfId="1" applyNumberFormat="1" applyFont="1" applyBorder="1"/>
    <xf numFmtId="4" fontId="7" fillId="0" borderId="19" xfId="1" applyNumberFormat="1" applyFont="1" applyBorder="1"/>
    <xf numFmtId="171" fontId="7" fillId="0" borderId="19" xfId="1" applyNumberFormat="1" applyFont="1" applyBorder="1"/>
    <xf numFmtId="4" fontId="7" fillId="0" borderId="47" xfId="1" applyNumberFormat="1" applyFont="1" applyBorder="1"/>
    <xf numFmtId="4" fontId="7" fillId="0" borderId="24" xfId="1" applyNumberFormat="1" applyFont="1" applyBorder="1" applyAlignment="1"/>
    <xf numFmtId="4" fontId="6" fillId="0" borderId="53" xfId="1" applyNumberFormat="1" applyFont="1" applyBorder="1"/>
    <xf numFmtId="2" fontId="7" fillId="0" borderId="24" xfId="1" applyNumberFormat="1" applyFont="1" applyBorder="1" applyAlignment="1">
      <alignment horizontal="center" vertical="center"/>
    </xf>
    <xf numFmtId="2" fontId="7" fillId="0" borderId="24" xfId="0" applyNumberFormat="1" applyFont="1" applyBorder="1" applyAlignment="1">
      <alignment horizontal="center" vertical="center"/>
    </xf>
    <xf numFmtId="2" fontId="7" fillId="0" borderId="24" xfId="1" applyNumberFormat="1" applyFont="1" applyBorder="1" applyAlignment="1">
      <alignment horizontal="center"/>
    </xf>
    <xf numFmtId="2" fontId="7" fillId="0" borderId="47" xfId="1" applyNumberFormat="1" applyFont="1" applyBorder="1" applyAlignment="1">
      <alignment horizontal="center"/>
    </xf>
    <xf numFmtId="2" fontId="6" fillId="0" borderId="24" xfId="1" applyNumberFormat="1" applyFont="1" applyBorder="1" applyAlignment="1">
      <alignment horizontal="center"/>
    </xf>
    <xf numFmtId="171" fontId="7" fillId="0" borderId="24" xfId="1" applyNumberFormat="1" applyFont="1" applyBorder="1" applyAlignment="1">
      <alignment horizontal="center"/>
    </xf>
    <xf numFmtId="4" fontId="7" fillId="0" borderId="51" xfId="1" applyNumberFormat="1" applyFont="1" applyBorder="1"/>
    <xf numFmtId="171" fontId="7" fillId="0" borderId="51" xfId="1" applyNumberFormat="1" applyFont="1" applyBorder="1"/>
    <xf numFmtId="4" fontId="11" fillId="0" borderId="24" xfId="1" applyNumberFormat="1" applyFont="1" applyBorder="1"/>
    <xf numFmtId="4" fontId="14" fillId="0" borderId="24" xfId="1" applyNumberFormat="1" applyFont="1" applyBorder="1"/>
    <xf numFmtId="4" fontId="12" fillId="0" borderId="24" xfId="1" applyNumberFormat="1" applyFont="1" applyBorder="1"/>
    <xf numFmtId="4" fontId="7" fillId="0" borderId="36" xfId="1" applyNumberFormat="1" applyFont="1" applyBorder="1"/>
    <xf numFmtId="4" fontId="11" fillId="0" borderId="26" xfId="1" applyNumberFormat="1" applyFont="1" applyBorder="1" applyAlignment="1">
      <alignment horizontal="center" vertical="center"/>
    </xf>
    <xf numFmtId="4" fontId="14" fillId="0" borderId="26" xfId="1" applyNumberFormat="1" applyFont="1" applyBorder="1" applyAlignment="1">
      <alignment horizontal="center" vertical="center"/>
    </xf>
    <xf numFmtId="171" fontId="7" fillId="0" borderId="14" xfId="0" applyNumberFormat="1" applyFont="1" applyBorder="1"/>
    <xf numFmtId="4" fontId="7" fillId="0" borderId="25" xfId="1" applyNumberFormat="1" applyFont="1" applyBorder="1" applyAlignment="1"/>
    <xf numFmtId="4" fontId="7" fillId="0" borderId="26" xfId="1" applyNumberFormat="1" applyFont="1" applyBorder="1" applyAlignme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55" xfId="0" applyFont="1" applyBorder="1" applyAlignment="1">
      <alignment horizontal="right"/>
    </xf>
    <xf numFmtId="0" fontId="6" fillId="0" borderId="57" xfId="0" applyFont="1" applyBorder="1" applyAlignment="1">
      <alignment horizontal="center"/>
    </xf>
    <xf numFmtId="0" fontId="6" fillId="0" borderId="58" xfId="0" applyFont="1" applyBorder="1" applyAlignment="1">
      <alignment horizontal="center"/>
    </xf>
    <xf numFmtId="0" fontId="6" fillId="0" borderId="34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46" xfId="0" applyFont="1" applyBorder="1" applyAlignment="1">
      <alignment horizontal="right"/>
    </xf>
    <xf numFmtId="0" fontId="6" fillId="0" borderId="33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4" fontId="7" fillId="0" borderId="30" xfId="1" applyNumberFormat="1" applyFont="1" applyBorder="1" applyAlignment="1"/>
    <xf numFmtId="4" fontId="7" fillId="0" borderId="31" xfId="1" applyNumberFormat="1" applyFont="1" applyBorder="1" applyAlignment="1"/>
    <xf numFmtId="0" fontId="7" fillId="0" borderId="30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4" fontId="7" fillId="0" borderId="20" xfId="1" applyNumberFormat="1" applyFont="1" applyBorder="1" applyAlignment="1"/>
    <xf numFmtId="4" fontId="7" fillId="0" borderId="21" xfId="1" applyNumberFormat="1" applyFont="1" applyBorder="1" applyAlignment="1"/>
    <xf numFmtId="0" fontId="7" fillId="0" borderId="20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164" fontId="7" fillId="0" borderId="30" xfId="0" applyNumberFormat="1" applyFont="1" applyBorder="1" applyAlignment="1">
      <alignment horizontal="center"/>
    </xf>
    <xf numFmtId="4" fontId="7" fillId="0" borderId="25" xfId="1" applyNumberFormat="1" applyFont="1" applyBorder="1" applyAlignment="1"/>
    <xf numFmtId="4" fontId="7" fillId="0" borderId="26" xfId="1" applyNumberFormat="1" applyFont="1" applyBorder="1" applyAlignment="1"/>
    <xf numFmtId="0" fontId="7" fillId="0" borderId="25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center"/>
    </xf>
    <xf numFmtId="165" fontId="4" fillId="0" borderId="9" xfId="1" applyNumberFormat="1" applyFont="1" applyBorder="1" applyAlignment="1">
      <alignment horizontal="center"/>
    </xf>
    <xf numFmtId="165" fontId="4" fillId="0" borderId="10" xfId="1" applyNumberFormat="1" applyFont="1" applyBorder="1" applyAlignment="1">
      <alignment horizontal="center"/>
    </xf>
    <xf numFmtId="165" fontId="4" fillId="0" borderId="11" xfId="1" applyNumberFormat="1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5" fontId="1" fillId="2" borderId="0" xfId="1" applyNumberFormat="1" applyFont="1" applyFill="1" applyAlignment="1" applyProtection="1">
      <alignment horizontal="center"/>
      <protection locked="0"/>
    </xf>
    <xf numFmtId="0" fontId="3" fillId="0" borderId="7" xfId="0" applyFont="1" applyBorder="1" applyAlignment="1">
      <alignment horizontal="center"/>
    </xf>
    <xf numFmtId="4" fontId="3" fillId="0" borderId="7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9" fontId="1" fillId="0" borderId="0" xfId="0" applyNumberFormat="1" applyFont="1" applyAlignment="1">
      <alignment horizontal="center"/>
    </xf>
    <xf numFmtId="43" fontId="1" fillId="0" borderId="0" xfId="1" applyFont="1" applyAlignment="1">
      <alignment horizontal="center"/>
    </xf>
    <xf numFmtId="43" fontId="1" fillId="2" borderId="0" xfId="1" applyFont="1" applyFill="1" applyAlignment="1" applyProtection="1">
      <alignment horizontal="center"/>
      <protection locked="0"/>
    </xf>
    <xf numFmtId="4" fontId="7" fillId="0" borderId="24" xfId="1" applyNumberFormat="1" applyFont="1" applyBorder="1" applyAlignment="1">
      <alignment horizontal="right"/>
    </xf>
    <xf numFmtId="4" fontId="6" fillId="0" borderId="53" xfId="1" applyNumberFormat="1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1729740</xdr:colOff>
      <xdr:row>23</xdr:row>
      <xdr:rowOff>297180</xdr:rowOff>
    </xdr:from>
    <xdr:to>
      <xdr:col>3</xdr:col>
      <xdr:colOff>45720</xdr:colOff>
      <xdr:row>27</xdr:row>
      <xdr:rowOff>106680</xdr:rowOff>
    </xdr:to>
    <xdr:sp macro="" textlink="">
      <xdr:nvSpPr>
        <xdr:cNvPr id="2" name="TextBox 1"/>
        <xdr:cNvSpPr txBox="1"/>
      </xdr:nvSpPr>
      <xdr:spPr>
        <a:xfrm>
          <a:off x="2308860" y="7597140"/>
          <a:ext cx="2171700" cy="10591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</a:rPr>
            <a:t>........................................</a:t>
          </a:r>
        </a:p>
        <a:p>
          <a:pPr algn="ctr"/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</a:rPr>
            <a:t>นายสิทธิศักดิ์</a:t>
          </a:r>
          <a:r>
            <a:rPr lang="th-TH" sz="1600" baseline="0">
              <a:latin typeface="TH Sarabun New" panose="020B0500040200020003" pitchFamily="34" charset="-34"/>
              <a:cs typeface="TH Sarabun New" panose="020B0500040200020003" pitchFamily="34" charset="-34"/>
            </a:rPr>
            <a:t>  เริงฤทธิ์</a:t>
          </a:r>
        </a:p>
        <a:p>
          <a:pPr algn="ctr"/>
          <a:r>
            <a:rPr lang="th-TH" sz="1600" baseline="0">
              <a:latin typeface="TH Sarabun New" panose="020B0500040200020003" pitchFamily="34" charset="-34"/>
              <a:cs typeface="TH Sarabun New" panose="020B0500040200020003" pitchFamily="34" charset="-34"/>
            </a:rPr>
            <a:t>ประธานกรรมการ</a:t>
          </a:r>
          <a:endParaRPr lang="en-US" sz="16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  <xdr:twoCellAnchor>
    <xdr:from>
      <xdr:col>0</xdr:col>
      <xdr:colOff>7620</xdr:colOff>
      <xdr:row>27</xdr:row>
      <xdr:rowOff>0</xdr:rowOff>
    </xdr:from>
    <xdr:to>
      <xdr:col>1</xdr:col>
      <xdr:colOff>1600200</xdr:colOff>
      <xdr:row>29</xdr:row>
      <xdr:rowOff>205740</xdr:rowOff>
    </xdr:to>
    <xdr:sp macro="" textlink="">
      <xdr:nvSpPr>
        <xdr:cNvPr id="3" name="TextBox 2"/>
        <xdr:cNvSpPr txBox="1"/>
      </xdr:nvSpPr>
      <xdr:spPr>
        <a:xfrm>
          <a:off x="7620" y="8549640"/>
          <a:ext cx="2171700" cy="10591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</a:rPr>
            <a:t>........................................</a:t>
          </a:r>
        </a:p>
        <a:p>
          <a:pPr algn="ctr"/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</a:rPr>
            <a:t>นายอนุวัฒน์</a:t>
          </a:r>
          <a:r>
            <a:rPr lang="th-TH" sz="1600" baseline="0">
              <a:latin typeface="TH Sarabun New" panose="020B0500040200020003" pitchFamily="34" charset="-34"/>
              <a:cs typeface="TH Sarabun New" panose="020B0500040200020003" pitchFamily="34" charset="-34"/>
            </a:rPr>
            <a:t>  ชัยช่วย</a:t>
          </a:r>
        </a:p>
        <a:p>
          <a:pPr algn="ctr"/>
          <a:r>
            <a:rPr lang="th-TH" sz="1600" baseline="0">
              <a:latin typeface="TH Sarabun New" panose="020B0500040200020003" pitchFamily="34" charset="-34"/>
              <a:cs typeface="TH Sarabun New" panose="020B0500040200020003" pitchFamily="34" charset="-34"/>
            </a:rPr>
            <a:t>กรรมการ</a:t>
          </a:r>
          <a:endParaRPr lang="en-US" sz="16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  <xdr:twoCellAnchor>
    <xdr:from>
      <xdr:col>3</xdr:col>
      <xdr:colOff>68580</xdr:colOff>
      <xdr:row>27</xdr:row>
      <xdr:rowOff>53340</xdr:rowOff>
    </xdr:from>
    <xdr:to>
      <xdr:col>5</xdr:col>
      <xdr:colOff>403860</xdr:colOff>
      <xdr:row>29</xdr:row>
      <xdr:rowOff>259080</xdr:rowOff>
    </xdr:to>
    <xdr:sp macro="" textlink="">
      <xdr:nvSpPr>
        <xdr:cNvPr id="4" name="TextBox 3"/>
        <xdr:cNvSpPr txBox="1"/>
      </xdr:nvSpPr>
      <xdr:spPr>
        <a:xfrm>
          <a:off x="4503420" y="8602980"/>
          <a:ext cx="2171700" cy="10591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</a:rPr>
            <a:t>........................................</a:t>
          </a:r>
        </a:p>
        <a:p>
          <a:pPr algn="ctr"/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</a:rPr>
            <a:t>นายหอมหวน  ตาสาโรจน์</a:t>
          </a:r>
          <a:endParaRPr lang="th-TH" sz="1600" baseline="0">
            <a:latin typeface="TH Sarabun New" panose="020B0500040200020003" pitchFamily="34" charset="-34"/>
            <a:cs typeface="TH Sarabun New" panose="020B0500040200020003" pitchFamily="34" charset="-34"/>
          </a:endParaRPr>
        </a:p>
        <a:p>
          <a:pPr algn="ctr"/>
          <a:r>
            <a:rPr lang="th-TH" sz="1600" baseline="0">
              <a:latin typeface="TH Sarabun New" panose="020B0500040200020003" pitchFamily="34" charset="-34"/>
              <a:cs typeface="TH Sarabun New" panose="020B0500040200020003" pitchFamily="34" charset="-34"/>
            </a:rPr>
            <a:t>กรรมการ</a:t>
          </a:r>
          <a:endParaRPr lang="en-US" sz="16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2049780</xdr:colOff>
      <xdr:row>29</xdr:row>
      <xdr:rowOff>68580</xdr:rowOff>
    </xdr:from>
    <xdr:to>
      <xdr:col>3</xdr:col>
      <xdr:colOff>53340</xdr:colOff>
      <xdr:row>31</xdr:row>
      <xdr:rowOff>487680</xdr:rowOff>
    </xdr:to>
    <xdr:sp macro="" textlink="">
      <xdr:nvSpPr>
        <xdr:cNvPr id="2" name="TextBox 1"/>
        <xdr:cNvSpPr txBox="1"/>
      </xdr:nvSpPr>
      <xdr:spPr>
        <a:xfrm>
          <a:off x="2522220" y="9113520"/>
          <a:ext cx="2354580" cy="10439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</a:rPr>
            <a:t>........................................</a:t>
          </a:r>
        </a:p>
        <a:p>
          <a:pPr algn="ctr"/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</a:rPr>
            <a:t>นายสิทธิศักดิ์</a:t>
          </a:r>
          <a:r>
            <a:rPr lang="th-TH" sz="1600" baseline="0">
              <a:latin typeface="TH Sarabun New" panose="020B0500040200020003" pitchFamily="34" charset="-34"/>
              <a:cs typeface="TH Sarabun New" panose="020B0500040200020003" pitchFamily="34" charset="-34"/>
            </a:rPr>
            <a:t>  เริงฤทธิ์</a:t>
          </a:r>
        </a:p>
        <a:p>
          <a:pPr algn="ctr"/>
          <a:r>
            <a:rPr lang="th-TH" sz="1600" baseline="0">
              <a:latin typeface="TH Sarabun New" panose="020B0500040200020003" pitchFamily="34" charset="-34"/>
              <a:cs typeface="TH Sarabun New" panose="020B0500040200020003" pitchFamily="34" charset="-34"/>
            </a:rPr>
            <a:t>ประธานกรรมการ</a:t>
          </a:r>
          <a:endParaRPr lang="en-US" sz="16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  <xdr:twoCellAnchor>
    <xdr:from>
      <xdr:col>0</xdr:col>
      <xdr:colOff>198120</xdr:colOff>
      <xdr:row>31</xdr:row>
      <xdr:rowOff>243840</xdr:rowOff>
    </xdr:from>
    <xdr:to>
      <xdr:col>1</xdr:col>
      <xdr:colOff>1790700</xdr:colOff>
      <xdr:row>34</xdr:row>
      <xdr:rowOff>137160</xdr:rowOff>
    </xdr:to>
    <xdr:sp macro="" textlink="">
      <xdr:nvSpPr>
        <xdr:cNvPr id="3" name="TextBox 2"/>
        <xdr:cNvSpPr txBox="1"/>
      </xdr:nvSpPr>
      <xdr:spPr>
        <a:xfrm>
          <a:off x="198120" y="10226040"/>
          <a:ext cx="2065020" cy="10591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</a:rPr>
            <a:t>........................................</a:t>
          </a:r>
        </a:p>
        <a:p>
          <a:pPr algn="ctr"/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</a:rPr>
            <a:t>นายอนุวัฒน์</a:t>
          </a:r>
          <a:r>
            <a:rPr lang="th-TH" sz="1600" baseline="0">
              <a:latin typeface="TH Sarabun New" panose="020B0500040200020003" pitchFamily="34" charset="-34"/>
              <a:cs typeface="TH Sarabun New" panose="020B0500040200020003" pitchFamily="34" charset="-34"/>
            </a:rPr>
            <a:t>  ชัยช่วย</a:t>
          </a:r>
        </a:p>
        <a:p>
          <a:pPr algn="ctr"/>
          <a:r>
            <a:rPr lang="th-TH" sz="1600" baseline="0">
              <a:latin typeface="TH Sarabun New" panose="020B0500040200020003" pitchFamily="34" charset="-34"/>
              <a:cs typeface="TH Sarabun New" panose="020B0500040200020003" pitchFamily="34" charset="-34"/>
            </a:rPr>
            <a:t>กรรมการ</a:t>
          </a:r>
          <a:endParaRPr lang="en-US" sz="16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  <xdr:twoCellAnchor>
    <xdr:from>
      <xdr:col>3</xdr:col>
      <xdr:colOff>22860</xdr:colOff>
      <xdr:row>31</xdr:row>
      <xdr:rowOff>251460</xdr:rowOff>
    </xdr:from>
    <xdr:to>
      <xdr:col>5</xdr:col>
      <xdr:colOff>358140</xdr:colOff>
      <xdr:row>34</xdr:row>
      <xdr:rowOff>144780</xdr:rowOff>
    </xdr:to>
    <xdr:sp macro="" textlink="">
      <xdr:nvSpPr>
        <xdr:cNvPr id="4" name="TextBox 3"/>
        <xdr:cNvSpPr txBox="1"/>
      </xdr:nvSpPr>
      <xdr:spPr>
        <a:xfrm>
          <a:off x="4846320" y="10233660"/>
          <a:ext cx="2125980" cy="10591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</a:rPr>
            <a:t>........................................</a:t>
          </a:r>
        </a:p>
        <a:p>
          <a:pPr algn="ctr"/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</a:rPr>
            <a:t>นายหอมหวน  ตาสาโรจน์</a:t>
          </a:r>
          <a:endParaRPr lang="th-TH" sz="1600" baseline="0">
            <a:latin typeface="TH Sarabun New" panose="020B0500040200020003" pitchFamily="34" charset="-34"/>
            <a:cs typeface="TH Sarabun New" panose="020B0500040200020003" pitchFamily="34" charset="-34"/>
          </a:endParaRPr>
        </a:p>
        <a:p>
          <a:pPr algn="ctr"/>
          <a:r>
            <a:rPr lang="th-TH" sz="1600" baseline="0">
              <a:latin typeface="TH Sarabun New" panose="020B0500040200020003" pitchFamily="34" charset="-34"/>
              <a:cs typeface="TH Sarabun New" panose="020B0500040200020003" pitchFamily="34" charset="-34"/>
            </a:rPr>
            <a:t>กรรมการ</a:t>
          </a:r>
          <a:endParaRPr lang="en-US" sz="16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1684020</xdr:colOff>
      <xdr:row>25</xdr:row>
      <xdr:rowOff>259080</xdr:rowOff>
    </xdr:from>
    <xdr:to>
      <xdr:col>2</xdr:col>
      <xdr:colOff>571500</xdr:colOff>
      <xdr:row>28</xdr:row>
      <xdr:rowOff>365760</xdr:rowOff>
    </xdr:to>
    <xdr:sp macro="" textlink="">
      <xdr:nvSpPr>
        <xdr:cNvPr id="2" name="TextBox 1"/>
        <xdr:cNvSpPr txBox="1"/>
      </xdr:nvSpPr>
      <xdr:spPr>
        <a:xfrm>
          <a:off x="2255520" y="8336280"/>
          <a:ext cx="2034540" cy="10439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</a:rPr>
            <a:t>........................................</a:t>
          </a:r>
        </a:p>
        <a:p>
          <a:pPr algn="ctr"/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</a:rPr>
            <a:t>นายสิทธิศักดิ์</a:t>
          </a:r>
          <a:r>
            <a:rPr lang="th-TH" sz="1600" baseline="0">
              <a:latin typeface="TH Sarabun New" panose="020B0500040200020003" pitchFamily="34" charset="-34"/>
              <a:cs typeface="TH Sarabun New" panose="020B0500040200020003" pitchFamily="34" charset="-34"/>
            </a:rPr>
            <a:t>  เริงฤทธิ์</a:t>
          </a:r>
        </a:p>
        <a:p>
          <a:pPr algn="ctr"/>
          <a:r>
            <a:rPr lang="th-TH" sz="1600" baseline="0">
              <a:latin typeface="TH Sarabun New" panose="020B0500040200020003" pitchFamily="34" charset="-34"/>
              <a:cs typeface="TH Sarabun New" panose="020B0500040200020003" pitchFamily="34" charset="-34"/>
            </a:rPr>
            <a:t>ประธานกรรมการ</a:t>
          </a:r>
          <a:endParaRPr lang="en-US" sz="16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  <xdr:twoCellAnchor>
    <xdr:from>
      <xdr:col>0</xdr:col>
      <xdr:colOff>91440</xdr:colOff>
      <xdr:row>28</xdr:row>
      <xdr:rowOff>160020</xdr:rowOff>
    </xdr:from>
    <xdr:to>
      <xdr:col>1</xdr:col>
      <xdr:colOff>1684020</xdr:colOff>
      <xdr:row>31</xdr:row>
      <xdr:rowOff>53340</xdr:rowOff>
    </xdr:to>
    <xdr:sp macro="" textlink="">
      <xdr:nvSpPr>
        <xdr:cNvPr id="3" name="TextBox 2"/>
        <xdr:cNvSpPr txBox="1"/>
      </xdr:nvSpPr>
      <xdr:spPr>
        <a:xfrm>
          <a:off x="91440" y="9174480"/>
          <a:ext cx="2164080" cy="10591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</a:rPr>
            <a:t>........................................</a:t>
          </a:r>
        </a:p>
        <a:p>
          <a:pPr algn="ctr"/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</a:rPr>
            <a:t>นายอนุวัฒน์</a:t>
          </a:r>
          <a:r>
            <a:rPr lang="th-TH" sz="1600" baseline="0">
              <a:latin typeface="TH Sarabun New" panose="020B0500040200020003" pitchFamily="34" charset="-34"/>
              <a:cs typeface="TH Sarabun New" panose="020B0500040200020003" pitchFamily="34" charset="-34"/>
            </a:rPr>
            <a:t>  ชัยช่วย</a:t>
          </a:r>
        </a:p>
        <a:p>
          <a:pPr algn="ctr"/>
          <a:r>
            <a:rPr lang="th-TH" sz="1600" baseline="0">
              <a:latin typeface="TH Sarabun New" panose="020B0500040200020003" pitchFamily="34" charset="-34"/>
              <a:cs typeface="TH Sarabun New" panose="020B0500040200020003" pitchFamily="34" charset="-34"/>
            </a:rPr>
            <a:t>กรรมการ</a:t>
          </a:r>
          <a:endParaRPr lang="en-US" sz="16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  <xdr:twoCellAnchor>
    <xdr:from>
      <xdr:col>2</xdr:col>
      <xdr:colOff>624840</xdr:colOff>
      <xdr:row>28</xdr:row>
      <xdr:rowOff>220980</xdr:rowOff>
    </xdr:from>
    <xdr:to>
      <xdr:col>5</xdr:col>
      <xdr:colOff>381000</xdr:colOff>
      <xdr:row>30</xdr:row>
      <xdr:rowOff>289560</xdr:rowOff>
    </xdr:to>
    <xdr:sp macro="" textlink="">
      <xdr:nvSpPr>
        <xdr:cNvPr id="4" name="TextBox 3"/>
        <xdr:cNvSpPr txBox="1"/>
      </xdr:nvSpPr>
      <xdr:spPr>
        <a:xfrm>
          <a:off x="4343400" y="9235440"/>
          <a:ext cx="1912620" cy="9220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</a:rPr>
            <a:t>........................................</a:t>
          </a:r>
        </a:p>
        <a:p>
          <a:pPr algn="ctr"/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</a:rPr>
            <a:t>นายหอมหวน  ตาสาโรจน์</a:t>
          </a:r>
          <a:endParaRPr lang="th-TH" sz="1600" baseline="0">
            <a:latin typeface="TH Sarabun New" panose="020B0500040200020003" pitchFamily="34" charset="-34"/>
            <a:cs typeface="TH Sarabun New" panose="020B0500040200020003" pitchFamily="34" charset="-34"/>
          </a:endParaRPr>
        </a:p>
        <a:p>
          <a:pPr algn="ctr"/>
          <a:r>
            <a:rPr lang="th-TH" sz="1600" baseline="0">
              <a:latin typeface="TH Sarabun New" panose="020B0500040200020003" pitchFamily="34" charset="-34"/>
              <a:cs typeface="TH Sarabun New" panose="020B0500040200020003" pitchFamily="34" charset="-34"/>
            </a:rPr>
            <a:t>กรรมการ</a:t>
          </a:r>
          <a:endParaRPr lang="en-US" sz="16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28575</xdr:colOff>
      <xdr:row>10</xdr:row>
      <xdr:rowOff>9525</xdr:rowOff>
    </xdr:from>
    <xdr:to>
      <xdr:col>17</xdr:col>
      <xdr:colOff>104775</xdr:colOff>
      <xdr:row>12</xdr:row>
      <xdr:rowOff>0</xdr:rowOff>
    </xdr:to>
    <xdr:sp macro="" textlink="">
      <xdr:nvSpPr>
        <xdr:cNvPr id="2" name="AutoShape 3"/>
        <xdr:cNvSpPr/>
      </xdr:nvSpPr>
      <xdr:spPr>
        <a:xfrm>
          <a:off x="7362825" y="2962275"/>
          <a:ext cx="76200" cy="581025"/>
        </a:xfrm>
        <a:prstGeom prst="rightBrace">
          <a:avLst>
            <a:gd name="adj1" fmla="val 63542"/>
            <a:gd name="adj2" fmla="val 50000"/>
          </a:avLst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28575</xdr:colOff>
      <xdr:row>10</xdr:row>
      <xdr:rowOff>0</xdr:rowOff>
    </xdr:from>
    <xdr:to>
      <xdr:col>4</xdr:col>
      <xdr:colOff>104775</xdr:colOff>
      <xdr:row>12</xdr:row>
      <xdr:rowOff>0</xdr:rowOff>
    </xdr:to>
    <xdr:sp macro="" textlink="">
      <xdr:nvSpPr>
        <xdr:cNvPr id="3" name="AutoShape 4"/>
        <xdr:cNvSpPr/>
      </xdr:nvSpPr>
      <xdr:spPr>
        <a:xfrm>
          <a:off x="2428875" y="2952750"/>
          <a:ext cx="76200" cy="590550"/>
        </a:xfrm>
        <a:prstGeom prst="leftBrace">
          <a:avLst>
            <a:gd name="adj1" fmla="val 64583"/>
            <a:gd name="adj2" fmla="val 50000"/>
          </a:avLst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8"/>
  <sheetViews>
    <sheetView view="pageBreakPreview" topLeftCell="A194" zoomScaleNormal="100" zoomScaleSheetLayoutView="100" workbookViewId="0">
      <selection activeCell="E181" sqref="E181"/>
    </sheetView>
  </sheetViews>
  <sheetFormatPr defaultColWidth="9" defaultRowHeight="21"/>
  <cols>
    <col min="1" max="1" width="7.5546875" style="67" customWidth="1"/>
    <col min="2" max="2" width="57" style="67" customWidth="1"/>
    <col min="3" max="3" width="10" style="67" customWidth="1"/>
    <col min="4" max="4" width="7" style="67" customWidth="1"/>
    <col min="5" max="5" width="13.44140625" style="67" customWidth="1"/>
    <col min="6" max="6" width="14.6640625" style="67" customWidth="1"/>
    <col min="7" max="7" width="12.33203125" style="67" customWidth="1"/>
    <col min="8" max="8" width="13.88671875" style="67" customWidth="1"/>
    <col min="9" max="9" width="16.88671875" style="67" customWidth="1"/>
    <col min="10" max="10" width="12.6640625" style="67" customWidth="1"/>
    <col min="11" max="11" width="13.6640625" style="67" customWidth="1"/>
    <col min="12" max="12" width="13.109375" style="67" customWidth="1"/>
    <col min="13" max="13" width="13.5546875" style="67" customWidth="1"/>
    <col min="14" max="14" width="13.44140625" style="67" customWidth="1"/>
    <col min="15" max="16384" width="9" style="67"/>
  </cols>
  <sheetData>
    <row r="1" spans="1:14" ht="24.6">
      <c r="A1" s="221" t="s">
        <v>0</v>
      </c>
      <c r="B1" s="221"/>
      <c r="C1" s="221"/>
      <c r="D1" s="221"/>
      <c r="E1" s="221"/>
      <c r="F1" s="221"/>
      <c r="G1" s="221"/>
      <c r="H1" s="221"/>
      <c r="I1" s="221"/>
      <c r="J1" s="221"/>
      <c r="N1" s="109"/>
    </row>
    <row r="2" spans="1:14" ht="24.6">
      <c r="A2" s="222" t="s">
        <v>1</v>
      </c>
      <c r="B2" s="222"/>
      <c r="C2" s="222"/>
      <c r="D2" s="222"/>
      <c r="E2" s="222"/>
      <c r="F2" s="222"/>
      <c r="G2" s="222"/>
      <c r="H2" s="222"/>
      <c r="I2" s="222"/>
      <c r="J2" s="222"/>
      <c r="N2" s="109"/>
    </row>
    <row r="3" spans="1:14" ht="24.6">
      <c r="A3" s="48" t="s">
        <v>2</v>
      </c>
      <c r="B3" s="48"/>
      <c r="C3" s="48"/>
      <c r="D3" s="48"/>
      <c r="E3" s="48"/>
      <c r="F3" s="48"/>
      <c r="G3" s="48"/>
      <c r="H3" s="48"/>
      <c r="I3" s="48"/>
      <c r="J3" s="48"/>
      <c r="N3" s="109"/>
    </row>
    <row r="4" spans="1:14" ht="24.6">
      <c r="A4" s="27" t="s">
        <v>3</v>
      </c>
      <c r="B4" s="27"/>
      <c r="C4" s="27"/>
      <c r="D4" s="27"/>
      <c r="E4" s="27"/>
      <c r="F4" s="27"/>
      <c r="G4" s="27"/>
      <c r="H4" s="27"/>
      <c r="I4" s="27"/>
      <c r="J4" s="27"/>
      <c r="N4" s="109"/>
    </row>
    <row r="5" spans="1:14" ht="24.6">
      <c r="A5" s="27" t="s">
        <v>4</v>
      </c>
      <c r="B5" s="27"/>
      <c r="C5" s="27"/>
      <c r="D5" s="27"/>
      <c r="E5" s="68"/>
      <c r="F5" s="69" t="s">
        <v>5</v>
      </c>
      <c r="G5" s="27"/>
      <c r="H5" s="27"/>
      <c r="I5" s="27"/>
      <c r="J5" s="27"/>
      <c r="N5" s="109"/>
    </row>
    <row r="6" spans="1:14" ht="24.6">
      <c r="A6" s="27" t="s">
        <v>6</v>
      </c>
      <c r="B6" s="27"/>
      <c r="C6" s="27"/>
      <c r="D6" s="27"/>
      <c r="E6" s="27"/>
      <c r="F6" s="27"/>
      <c r="G6" s="27"/>
      <c r="H6" s="27"/>
      <c r="I6" s="27"/>
      <c r="J6" s="27"/>
      <c r="N6" s="109"/>
    </row>
    <row r="7" spans="1:14" ht="24.6">
      <c r="A7" s="27" t="s">
        <v>351</v>
      </c>
      <c r="B7" s="27"/>
      <c r="C7" s="27"/>
      <c r="D7" s="27"/>
      <c r="E7" s="29" t="s">
        <v>7</v>
      </c>
      <c r="F7" s="29" t="s">
        <v>8</v>
      </c>
      <c r="G7" s="29" t="s">
        <v>9</v>
      </c>
      <c r="H7" s="29" t="s">
        <v>10</v>
      </c>
      <c r="I7" s="29" t="s">
        <v>11</v>
      </c>
      <c r="J7" s="27"/>
      <c r="N7" s="109"/>
    </row>
    <row r="8" spans="1:14" ht="24.6">
      <c r="A8" s="221" t="s">
        <v>12</v>
      </c>
      <c r="B8" s="221"/>
      <c r="C8" s="221"/>
      <c r="D8" s="221"/>
      <c r="E8" s="221"/>
      <c r="F8" s="221"/>
      <c r="G8" s="221"/>
      <c r="H8" s="221"/>
      <c r="I8" s="221"/>
      <c r="J8" s="221"/>
      <c r="N8" s="109"/>
    </row>
    <row r="9" spans="1:14" ht="24.6">
      <c r="A9" s="226" t="s">
        <v>13</v>
      </c>
      <c r="B9" s="226" t="s">
        <v>14</v>
      </c>
      <c r="C9" s="226" t="s">
        <v>15</v>
      </c>
      <c r="D9" s="226" t="s">
        <v>16</v>
      </c>
      <c r="E9" s="228" t="s">
        <v>17</v>
      </c>
      <c r="F9" s="228"/>
      <c r="G9" s="228" t="s">
        <v>18</v>
      </c>
      <c r="H9" s="228"/>
      <c r="I9" s="40" t="s">
        <v>19</v>
      </c>
      <c r="J9" s="70" t="s">
        <v>20</v>
      </c>
      <c r="N9" s="109"/>
    </row>
    <row r="10" spans="1:14" s="181" customFormat="1" ht="22.8">
      <c r="A10" s="227"/>
      <c r="B10" s="227"/>
      <c r="C10" s="227"/>
      <c r="D10" s="227"/>
      <c r="E10" s="179" t="s">
        <v>21</v>
      </c>
      <c r="F10" s="179" t="s">
        <v>22</v>
      </c>
      <c r="G10" s="179" t="s">
        <v>21</v>
      </c>
      <c r="H10" s="179" t="s">
        <v>22</v>
      </c>
      <c r="I10" s="180" t="s">
        <v>23</v>
      </c>
      <c r="J10" s="179"/>
      <c r="N10" s="182"/>
    </row>
    <row r="11" spans="1:14" s="76" customFormat="1" ht="24.6">
      <c r="A11" s="71">
        <v>1</v>
      </c>
      <c r="B11" s="110" t="s">
        <v>24</v>
      </c>
      <c r="C11" s="75"/>
      <c r="D11" s="111"/>
      <c r="E11" s="75"/>
      <c r="F11" s="75"/>
      <c r="G11" s="75"/>
      <c r="H11" s="75"/>
      <c r="I11" s="75"/>
      <c r="J11" s="112"/>
      <c r="K11" s="113"/>
      <c r="L11" s="113"/>
      <c r="N11" s="114"/>
    </row>
    <row r="12" spans="1:14" ht="24.6">
      <c r="A12" s="80">
        <v>1.1000000000000001</v>
      </c>
      <c r="B12" s="115" t="s">
        <v>25</v>
      </c>
      <c r="C12" s="88">
        <v>6</v>
      </c>
      <c r="D12" s="85" t="s">
        <v>26</v>
      </c>
      <c r="E12" s="190"/>
      <c r="F12" s="190"/>
      <c r="G12" s="190">
        <v>5000</v>
      </c>
      <c r="H12" s="190">
        <f>SUM(C12*G12)</f>
        <v>30000</v>
      </c>
      <c r="I12" s="190">
        <f>SUM(F12+H12)</f>
        <v>30000</v>
      </c>
      <c r="J12" s="57" t="s">
        <v>27</v>
      </c>
      <c r="K12" s="116"/>
      <c r="L12" s="117"/>
      <c r="M12" s="117"/>
      <c r="N12" s="109"/>
    </row>
    <row r="13" spans="1:14" ht="24.6">
      <c r="A13" s="80">
        <v>1.2</v>
      </c>
      <c r="B13" s="87" t="s">
        <v>28</v>
      </c>
      <c r="C13" s="88">
        <v>1</v>
      </c>
      <c r="D13" s="118" t="s">
        <v>29</v>
      </c>
      <c r="E13" s="190"/>
      <c r="F13" s="190"/>
      <c r="G13" s="190">
        <v>10000</v>
      </c>
      <c r="H13" s="190">
        <f t="shared" ref="H13" si="0">SUM(C13*G13)</f>
        <v>10000</v>
      </c>
      <c r="I13" s="190">
        <f t="shared" ref="I13" si="1">SUM(F13+H13)</f>
        <v>10000</v>
      </c>
      <c r="J13" s="57" t="s">
        <v>27</v>
      </c>
      <c r="K13" s="116"/>
      <c r="L13" s="117"/>
      <c r="M13" s="117"/>
      <c r="N13" s="109"/>
    </row>
    <row r="14" spans="1:14" s="76" customFormat="1" ht="24.6">
      <c r="A14" s="100"/>
      <c r="B14" s="119" t="s">
        <v>30</v>
      </c>
      <c r="C14" s="195"/>
      <c r="D14" s="120"/>
      <c r="E14" s="191"/>
      <c r="F14" s="191"/>
      <c r="G14" s="191"/>
      <c r="H14" s="191">
        <f>SUM(H12:H13)</f>
        <v>40000</v>
      </c>
      <c r="I14" s="191">
        <f>SUM(I12:I13)</f>
        <v>40000</v>
      </c>
      <c r="J14" s="121"/>
      <c r="K14" s="113"/>
      <c r="L14" s="122"/>
      <c r="M14" s="122"/>
      <c r="N14" s="114"/>
    </row>
    <row r="15" spans="1:14" ht="24.6">
      <c r="A15" s="100">
        <v>2</v>
      </c>
      <c r="B15" s="123" t="s">
        <v>31</v>
      </c>
      <c r="C15" s="195"/>
      <c r="D15" s="120"/>
      <c r="E15" s="191"/>
      <c r="F15" s="191"/>
      <c r="G15" s="191"/>
      <c r="H15" s="191"/>
      <c r="I15" s="191"/>
      <c r="J15" s="121"/>
      <c r="K15" s="117"/>
      <c r="L15" s="117"/>
      <c r="M15" s="117"/>
      <c r="N15" s="109"/>
    </row>
    <row r="16" spans="1:14" s="76" customFormat="1" ht="24.6">
      <c r="A16" s="100">
        <v>2.1</v>
      </c>
      <c r="B16" s="124" t="s">
        <v>32</v>
      </c>
      <c r="C16" s="195"/>
      <c r="D16" s="125"/>
      <c r="E16" s="191"/>
      <c r="F16" s="191"/>
      <c r="G16" s="191"/>
      <c r="H16" s="191"/>
      <c r="I16" s="191"/>
      <c r="J16" s="121"/>
      <c r="K16" s="122"/>
      <c r="L16" s="122"/>
      <c r="M16" s="122"/>
      <c r="N16" s="114"/>
    </row>
    <row r="17" spans="1:14" s="76" customFormat="1" ht="24.6">
      <c r="A17" s="80" t="s">
        <v>33</v>
      </c>
      <c r="B17" s="96" t="s">
        <v>34</v>
      </c>
      <c r="C17" s="88">
        <v>1</v>
      </c>
      <c r="D17" s="85" t="s">
        <v>29</v>
      </c>
      <c r="E17" s="190"/>
      <c r="F17" s="190"/>
      <c r="G17" s="190">
        <v>15000</v>
      </c>
      <c r="H17" s="190">
        <f>SUM(C17*G17)</f>
        <v>15000</v>
      </c>
      <c r="I17" s="190">
        <f>SUM(F17+H17)</f>
        <v>15000</v>
      </c>
      <c r="J17" s="57" t="s">
        <v>27</v>
      </c>
      <c r="K17" s="122"/>
      <c r="L17" s="122"/>
      <c r="M17" s="122"/>
      <c r="N17" s="114"/>
    </row>
    <row r="18" spans="1:14" ht="24.6">
      <c r="A18" s="80"/>
      <c r="B18" s="96" t="s">
        <v>35</v>
      </c>
      <c r="C18" s="88"/>
      <c r="D18" s="85"/>
      <c r="E18" s="190"/>
      <c r="F18" s="190"/>
      <c r="G18" s="190"/>
      <c r="H18" s="190"/>
      <c r="I18" s="190"/>
      <c r="J18" s="57"/>
      <c r="K18" s="117"/>
      <c r="L18" s="117"/>
      <c r="M18" s="117"/>
      <c r="N18" s="109"/>
    </row>
    <row r="19" spans="1:14" s="76" customFormat="1" ht="24.6">
      <c r="A19" s="80"/>
      <c r="B19" s="90" t="s">
        <v>36</v>
      </c>
      <c r="C19" s="88"/>
      <c r="D19" s="85"/>
      <c r="E19" s="190"/>
      <c r="F19" s="190"/>
      <c r="G19" s="190"/>
      <c r="H19" s="190"/>
      <c r="I19" s="190"/>
      <c r="J19" s="57"/>
      <c r="K19" s="122"/>
      <c r="L19" s="122"/>
      <c r="M19" s="122"/>
      <c r="N19" s="114"/>
    </row>
    <row r="20" spans="1:14" s="76" customFormat="1" ht="24.6">
      <c r="A20" s="126" t="s">
        <v>37</v>
      </c>
      <c r="B20" s="96" t="s">
        <v>38</v>
      </c>
      <c r="C20" s="196">
        <v>112.8</v>
      </c>
      <c r="D20" s="85" t="s">
        <v>39</v>
      </c>
      <c r="E20" s="190"/>
      <c r="F20" s="190"/>
      <c r="G20" s="190">
        <v>40</v>
      </c>
      <c r="H20" s="190">
        <f t="shared" ref="H20" si="2">SUM(C20*G20)</f>
        <v>4512</v>
      </c>
      <c r="I20" s="190">
        <f t="shared" ref="I20" si="3">SUM(F20+H20)</f>
        <v>4512</v>
      </c>
      <c r="J20" s="57" t="s">
        <v>27</v>
      </c>
      <c r="K20" s="113"/>
      <c r="L20" s="113"/>
      <c r="M20" s="122"/>
      <c r="N20" s="114"/>
    </row>
    <row r="21" spans="1:14" s="76" customFormat="1" ht="24.6">
      <c r="A21" s="126" t="s">
        <v>40</v>
      </c>
      <c r="B21" s="96" t="s">
        <v>41</v>
      </c>
      <c r="C21" s="88">
        <v>5</v>
      </c>
      <c r="D21" s="85" t="s">
        <v>42</v>
      </c>
      <c r="E21" s="190"/>
      <c r="F21" s="190"/>
      <c r="G21" s="190">
        <v>1000</v>
      </c>
      <c r="H21" s="190">
        <f t="shared" ref="H21" si="4">SUM(C21*G21)</f>
        <v>5000</v>
      </c>
      <c r="I21" s="190">
        <f t="shared" ref="I21" si="5">SUM(F21+H21)</f>
        <v>5000</v>
      </c>
      <c r="J21" s="57" t="s">
        <v>27</v>
      </c>
      <c r="K21" s="113"/>
      <c r="L21" s="113"/>
      <c r="M21" s="122"/>
      <c r="N21" s="114"/>
    </row>
    <row r="22" spans="1:14" s="76" customFormat="1" ht="24.6">
      <c r="A22" s="100"/>
      <c r="B22" s="98" t="s">
        <v>43</v>
      </c>
      <c r="C22" s="195"/>
      <c r="D22" s="120"/>
      <c r="E22" s="191"/>
      <c r="F22" s="191"/>
      <c r="G22" s="191"/>
      <c r="H22" s="191">
        <f>SUM(H17:H21)</f>
        <v>24512</v>
      </c>
      <c r="I22" s="191">
        <f>SUM(I17:I21)</f>
        <v>24512</v>
      </c>
      <c r="J22" s="121"/>
      <c r="K22" s="113"/>
      <c r="L22" s="113"/>
      <c r="M22" s="122"/>
      <c r="N22" s="114"/>
    </row>
    <row r="23" spans="1:14" s="76" customFormat="1" ht="24.6">
      <c r="A23" s="100">
        <v>2.2000000000000002</v>
      </c>
      <c r="B23" s="127" t="s">
        <v>44</v>
      </c>
      <c r="C23" s="195"/>
      <c r="D23" s="120"/>
      <c r="E23" s="191"/>
      <c r="F23" s="191"/>
      <c r="G23" s="191"/>
      <c r="H23" s="191"/>
      <c r="I23" s="191"/>
      <c r="J23" s="121"/>
      <c r="K23" s="113"/>
      <c r="L23" s="113"/>
      <c r="M23" s="122"/>
      <c r="N23" s="114"/>
    </row>
    <row r="24" spans="1:14" ht="24.6">
      <c r="A24" s="128" t="s">
        <v>45</v>
      </c>
      <c r="B24" s="129" t="s">
        <v>46</v>
      </c>
      <c r="C24" s="196">
        <v>8</v>
      </c>
      <c r="D24" s="130" t="s">
        <v>42</v>
      </c>
      <c r="E24" s="192"/>
      <c r="F24" s="192"/>
      <c r="G24" s="192">
        <v>22000</v>
      </c>
      <c r="H24" s="192">
        <f>SUM(C24*G24)</f>
        <v>176000</v>
      </c>
      <c r="I24" s="192">
        <f>SUM(F24+H24)</f>
        <v>176000</v>
      </c>
      <c r="J24" s="131"/>
      <c r="K24" s="116"/>
      <c r="L24" s="116"/>
      <c r="M24" s="117"/>
      <c r="N24" s="132"/>
    </row>
    <row r="25" spans="1:14" s="76" customFormat="1" ht="24.6">
      <c r="A25" s="133" t="s">
        <v>47</v>
      </c>
      <c r="B25" s="134" t="s">
        <v>48</v>
      </c>
      <c r="C25" s="196">
        <v>168</v>
      </c>
      <c r="D25" s="135" t="s">
        <v>39</v>
      </c>
      <c r="E25" s="192">
        <v>595</v>
      </c>
      <c r="F25" s="192">
        <f>SUM(C25*E25)</f>
        <v>99960</v>
      </c>
      <c r="G25" s="192">
        <v>130</v>
      </c>
      <c r="H25" s="192">
        <f>SUM(C25*G25)</f>
        <v>21840</v>
      </c>
      <c r="I25" s="192">
        <f>SUM(F25+H25)</f>
        <v>121800</v>
      </c>
      <c r="J25" s="136"/>
      <c r="K25" s="113"/>
      <c r="L25" s="113"/>
      <c r="M25" s="122"/>
      <c r="N25" s="137"/>
    </row>
    <row r="26" spans="1:14" s="76" customFormat="1" ht="24.6">
      <c r="A26" s="103"/>
      <c r="B26" s="138" t="s">
        <v>49</v>
      </c>
      <c r="C26" s="197"/>
      <c r="D26" s="100"/>
      <c r="E26" s="193"/>
      <c r="F26" s="191"/>
      <c r="G26" s="191"/>
      <c r="H26" s="191"/>
      <c r="I26" s="191"/>
      <c r="J26" s="101"/>
      <c r="K26" s="113"/>
      <c r="L26" s="113"/>
      <c r="M26" s="122"/>
      <c r="N26" s="114"/>
    </row>
    <row r="27" spans="1:14" s="76" customFormat="1" ht="24.6">
      <c r="A27" s="139" t="s">
        <v>50</v>
      </c>
      <c r="B27" s="140" t="s">
        <v>51</v>
      </c>
      <c r="C27" s="198">
        <v>8</v>
      </c>
      <c r="D27" s="141" t="s">
        <v>42</v>
      </c>
      <c r="E27" s="194">
        <v>0</v>
      </c>
      <c r="F27" s="194">
        <f>SUM(C27*E27)</f>
        <v>0</v>
      </c>
      <c r="G27" s="194">
        <v>2000</v>
      </c>
      <c r="H27" s="194">
        <f>SUM(C27*G27)</f>
        <v>16000</v>
      </c>
      <c r="I27" s="194">
        <f>SUM(F27+H27)</f>
        <v>16000</v>
      </c>
      <c r="J27" s="142"/>
      <c r="K27" s="113"/>
      <c r="L27" s="113"/>
      <c r="M27" s="122"/>
      <c r="N27" s="114">
        <f>SUM(L27*M27)</f>
        <v>0</v>
      </c>
    </row>
    <row r="28" spans="1:14" ht="24.6">
      <c r="A28" s="221" t="s">
        <v>52</v>
      </c>
      <c r="B28" s="221"/>
      <c r="C28" s="221"/>
      <c r="D28" s="221"/>
      <c r="E28" s="221"/>
      <c r="F28" s="221"/>
      <c r="G28" s="221"/>
      <c r="H28" s="221"/>
      <c r="I28" s="221"/>
      <c r="J28" s="221"/>
    </row>
    <row r="29" spans="1:14" ht="24.6">
      <c r="A29" s="222" t="s">
        <v>1</v>
      </c>
      <c r="B29" s="222"/>
      <c r="C29" s="222"/>
      <c r="D29" s="222"/>
      <c r="E29" s="222"/>
      <c r="F29" s="222"/>
      <c r="G29" s="222"/>
      <c r="H29" s="222"/>
      <c r="I29" s="222"/>
      <c r="J29" s="222"/>
    </row>
    <row r="30" spans="1:14" ht="24.6">
      <c r="A30" s="48" t="s">
        <v>2</v>
      </c>
      <c r="B30" s="48"/>
      <c r="C30" s="48"/>
      <c r="D30" s="48"/>
      <c r="E30" s="48"/>
      <c r="F30" s="48"/>
      <c r="G30" s="48"/>
      <c r="H30" s="48"/>
      <c r="I30" s="48"/>
      <c r="J30" s="48"/>
    </row>
    <row r="31" spans="1:14" ht="24.6">
      <c r="A31" s="27" t="s">
        <v>3</v>
      </c>
      <c r="B31" s="27"/>
      <c r="C31" s="27"/>
      <c r="D31" s="27"/>
      <c r="E31" s="27"/>
      <c r="F31" s="27"/>
      <c r="G31" s="27"/>
      <c r="H31" s="27"/>
      <c r="I31" s="27"/>
      <c r="J31" s="27"/>
    </row>
    <row r="32" spans="1:14" ht="24.6">
      <c r="A32" s="27" t="s">
        <v>4</v>
      </c>
      <c r="B32" s="27"/>
      <c r="C32" s="27"/>
      <c r="D32" s="27"/>
      <c r="E32" s="68"/>
      <c r="F32" s="69" t="s">
        <v>5</v>
      </c>
      <c r="G32" s="27"/>
      <c r="H32" s="27"/>
      <c r="I32" s="27"/>
      <c r="J32" s="27"/>
    </row>
    <row r="33" spans="1:10" ht="24.6">
      <c r="A33" s="27" t="s">
        <v>6</v>
      </c>
      <c r="B33" s="27"/>
      <c r="C33" s="27"/>
      <c r="D33" s="27"/>
      <c r="E33" s="27"/>
      <c r="F33" s="27"/>
      <c r="G33" s="27"/>
      <c r="H33" s="27"/>
      <c r="I33" s="27"/>
      <c r="J33" s="27"/>
    </row>
    <row r="34" spans="1:10" ht="24.6">
      <c r="A34" s="27" t="s">
        <v>351</v>
      </c>
      <c r="B34" s="27"/>
      <c r="C34" s="27"/>
      <c r="D34" s="27"/>
      <c r="E34" s="29" t="s">
        <v>7</v>
      </c>
      <c r="F34" s="29" t="s">
        <v>8</v>
      </c>
      <c r="G34" s="29" t="s">
        <v>9</v>
      </c>
      <c r="H34" s="29" t="s">
        <v>10</v>
      </c>
      <c r="I34" s="29" t="s">
        <v>11</v>
      </c>
      <c r="J34" s="27"/>
    </row>
    <row r="35" spans="1:10" ht="24.6">
      <c r="A35" s="221" t="s">
        <v>12</v>
      </c>
      <c r="B35" s="221"/>
      <c r="C35" s="221"/>
      <c r="D35" s="221"/>
      <c r="E35" s="221"/>
      <c r="F35" s="221"/>
      <c r="G35" s="221"/>
      <c r="H35" s="221"/>
      <c r="I35" s="221"/>
      <c r="J35" s="221"/>
    </row>
    <row r="36" spans="1:10" ht="24.6">
      <c r="A36" s="226" t="s">
        <v>13</v>
      </c>
      <c r="B36" s="226" t="s">
        <v>14</v>
      </c>
      <c r="C36" s="226" t="s">
        <v>15</v>
      </c>
      <c r="D36" s="226" t="s">
        <v>16</v>
      </c>
      <c r="E36" s="228" t="s">
        <v>17</v>
      </c>
      <c r="F36" s="228"/>
      <c r="G36" s="228" t="s">
        <v>18</v>
      </c>
      <c r="H36" s="228"/>
      <c r="I36" s="40" t="s">
        <v>19</v>
      </c>
      <c r="J36" s="70" t="s">
        <v>20</v>
      </c>
    </row>
    <row r="37" spans="1:10" s="181" customFormat="1" ht="22.8">
      <c r="A37" s="227"/>
      <c r="B37" s="227"/>
      <c r="C37" s="227"/>
      <c r="D37" s="227"/>
      <c r="E37" s="179" t="s">
        <v>21</v>
      </c>
      <c r="F37" s="179" t="s">
        <v>22</v>
      </c>
      <c r="G37" s="179" t="s">
        <v>21</v>
      </c>
      <c r="H37" s="179" t="s">
        <v>22</v>
      </c>
      <c r="I37" s="180" t="s">
        <v>23</v>
      </c>
      <c r="J37" s="179"/>
    </row>
    <row r="38" spans="1:10" ht="24.6">
      <c r="A38" s="143" t="s">
        <v>53</v>
      </c>
      <c r="B38" s="144" t="s">
        <v>54</v>
      </c>
      <c r="C38" s="200">
        <v>1</v>
      </c>
      <c r="D38" s="145" t="s">
        <v>42</v>
      </c>
      <c r="E38" s="199">
        <v>20000</v>
      </c>
      <c r="F38" s="199">
        <f>E38*C38</f>
        <v>20000</v>
      </c>
      <c r="G38" s="199"/>
      <c r="H38" s="199"/>
      <c r="I38" s="199">
        <f>SUM(F38+H38)</f>
        <v>20000</v>
      </c>
      <c r="J38" s="54"/>
    </row>
    <row r="39" spans="1:10" ht="24.6">
      <c r="A39" s="80"/>
      <c r="B39" s="115" t="s">
        <v>55</v>
      </c>
      <c r="C39" s="190"/>
      <c r="D39" s="85"/>
      <c r="E39" s="88"/>
      <c r="F39" s="88"/>
      <c r="G39" s="88"/>
      <c r="H39" s="88"/>
      <c r="I39" s="88"/>
      <c r="J39" s="57"/>
    </row>
    <row r="40" spans="1:10" ht="24.6">
      <c r="A40" s="126" t="s">
        <v>56</v>
      </c>
      <c r="B40" s="115" t="s">
        <v>57</v>
      </c>
      <c r="C40" s="190">
        <v>1</v>
      </c>
      <c r="D40" s="85" t="s">
        <v>42</v>
      </c>
      <c r="E40" s="88">
        <v>1640</v>
      </c>
      <c r="F40" s="88">
        <f t="shared" ref="F40:F42" si="6">SUM(C40*E40)</f>
        <v>1640</v>
      </c>
      <c r="G40" s="88">
        <v>200</v>
      </c>
      <c r="H40" s="88">
        <f t="shared" ref="H40:H42" si="7">SUM(C40*G40)</f>
        <v>200</v>
      </c>
      <c r="I40" s="88">
        <f t="shared" ref="I40:I42" si="8">SUM(F40+H40)</f>
        <v>1840</v>
      </c>
      <c r="J40" s="57"/>
    </row>
    <row r="41" spans="1:10" ht="24.6">
      <c r="A41" s="126" t="s">
        <v>58</v>
      </c>
      <c r="B41" s="146" t="s">
        <v>59</v>
      </c>
      <c r="C41" s="190">
        <v>329.6</v>
      </c>
      <c r="D41" s="85" t="s">
        <v>39</v>
      </c>
      <c r="E41" s="88">
        <v>300</v>
      </c>
      <c r="F41" s="88">
        <f>SUM(C41*E41)</f>
        <v>98880</v>
      </c>
      <c r="G41" s="88">
        <v>158</v>
      </c>
      <c r="H41" s="88">
        <f t="shared" si="7"/>
        <v>52076.800000000003</v>
      </c>
      <c r="I41" s="88">
        <f t="shared" si="8"/>
        <v>150956.79999999999</v>
      </c>
      <c r="J41" s="57"/>
    </row>
    <row r="42" spans="1:10" s="76" customFormat="1" ht="24.6">
      <c r="A42" s="126" t="s">
        <v>60</v>
      </c>
      <c r="B42" s="87" t="s">
        <v>61</v>
      </c>
      <c r="C42" s="190">
        <v>837</v>
      </c>
      <c r="D42" s="85" t="s">
        <v>39</v>
      </c>
      <c r="E42" s="88">
        <v>44</v>
      </c>
      <c r="F42" s="88">
        <f t="shared" si="6"/>
        <v>36828</v>
      </c>
      <c r="G42" s="88">
        <v>34</v>
      </c>
      <c r="H42" s="88">
        <f t="shared" si="7"/>
        <v>28458</v>
      </c>
      <c r="I42" s="88">
        <f t="shared" si="8"/>
        <v>65286</v>
      </c>
      <c r="J42" s="57"/>
    </row>
    <row r="43" spans="1:10" ht="24.6">
      <c r="A43" s="80"/>
      <c r="B43" s="87" t="s">
        <v>62</v>
      </c>
      <c r="C43" s="190"/>
      <c r="D43" s="85"/>
      <c r="E43" s="88"/>
      <c r="F43" s="88"/>
      <c r="G43" s="88"/>
      <c r="H43" s="88"/>
      <c r="I43" s="88"/>
      <c r="J43" s="57"/>
    </row>
    <row r="44" spans="1:10" s="76" customFormat="1" ht="24.6">
      <c r="A44" s="147"/>
      <c r="B44" s="148" t="s">
        <v>63</v>
      </c>
      <c r="C44" s="191"/>
      <c r="D44" s="125"/>
      <c r="E44" s="195"/>
      <c r="F44" s="195">
        <f>SUM(F38:F42,F24:F27)</f>
        <v>257308</v>
      </c>
      <c r="G44" s="195"/>
      <c r="H44" s="195">
        <f>SUM(H38:H42,H24:H27)</f>
        <v>294574.8</v>
      </c>
      <c r="I44" s="195">
        <f>SUM(I38:I42,I24:I27)</f>
        <v>551882.80000000005</v>
      </c>
      <c r="J44" s="99"/>
    </row>
    <row r="45" spans="1:10" s="76" customFormat="1" ht="24.6">
      <c r="A45" s="148" t="s">
        <v>64</v>
      </c>
      <c r="B45" s="150" t="s">
        <v>65</v>
      </c>
      <c r="C45" s="191"/>
      <c r="D45" s="125"/>
      <c r="E45" s="195"/>
      <c r="F45" s="195"/>
      <c r="G45" s="195"/>
      <c r="H45" s="195"/>
      <c r="I45" s="195"/>
      <c r="J45" s="99"/>
    </row>
    <row r="46" spans="1:10" ht="24.6">
      <c r="A46" s="151" t="s">
        <v>66</v>
      </c>
      <c r="B46" s="152" t="s">
        <v>67</v>
      </c>
      <c r="C46" s="190">
        <v>400</v>
      </c>
      <c r="D46" s="85" t="s">
        <v>68</v>
      </c>
      <c r="E46" s="88">
        <v>570</v>
      </c>
      <c r="F46" s="88">
        <f>E46*C46</f>
        <v>228000</v>
      </c>
      <c r="G46" s="88">
        <v>65</v>
      </c>
      <c r="H46" s="88">
        <f>G46*C46</f>
        <v>26000</v>
      </c>
      <c r="I46" s="88">
        <f>F46+H46</f>
        <v>254000</v>
      </c>
      <c r="J46" s="57"/>
    </row>
    <row r="47" spans="1:10" ht="24.6">
      <c r="A47" s="151" t="s">
        <v>69</v>
      </c>
      <c r="B47" s="152" t="s">
        <v>70</v>
      </c>
      <c r="C47" s="190">
        <v>300</v>
      </c>
      <c r="D47" s="85" t="s">
        <v>68</v>
      </c>
      <c r="E47" s="88">
        <v>366</v>
      </c>
      <c r="F47" s="88">
        <f t="shared" ref="F47:F53" si="9">E47*C47</f>
        <v>109800</v>
      </c>
      <c r="G47" s="88">
        <v>55</v>
      </c>
      <c r="H47" s="88">
        <f t="shared" ref="H47:H53" si="10">G47*C47</f>
        <v>16500</v>
      </c>
      <c r="I47" s="88">
        <f t="shared" ref="I47:I53" si="11">F47+H47</f>
        <v>126300</v>
      </c>
      <c r="J47" s="57"/>
    </row>
    <row r="48" spans="1:10" ht="24.6">
      <c r="A48" s="151" t="s">
        <v>71</v>
      </c>
      <c r="B48" s="152" t="s">
        <v>72</v>
      </c>
      <c r="C48" s="190">
        <v>600</v>
      </c>
      <c r="D48" s="85" t="s">
        <v>68</v>
      </c>
      <c r="E48" s="88">
        <v>186</v>
      </c>
      <c r="F48" s="88">
        <f t="shared" si="9"/>
        <v>111600</v>
      </c>
      <c r="G48" s="88">
        <v>40</v>
      </c>
      <c r="H48" s="88">
        <f t="shared" si="10"/>
        <v>24000</v>
      </c>
      <c r="I48" s="88">
        <f t="shared" si="11"/>
        <v>135600</v>
      </c>
      <c r="J48" s="57"/>
    </row>
    <row r="49" spans="1:11" ht="24.6">
      <c r="A49" s="151" t="s">
        <v>73</v>
      </c>
      <c r="B49" s="153" t="s">
        <v>74</v>
      </c>
      <c r="C49" s="190">
        <v>600</v>
      </c>
      <c r="D49" s="85" t="s">
        <v>68</v>
      </c>
      <c r="E49" s="88">
        <v>98</v>
      </c>
      <c r="F49" s="88">
        <f t="shared" si="9"/>
        <v>58800</v>
      </c>
      <c r="G49" s="88">
        <v>25</v>
      </c>
      <c r="H49" s="88">
        <f t="shared" si="10"/>
        <v>15000</v>
      </c>
      <c r="I49" s="88">
        <f t="shared" si="11"/>
        <v>73800</v>
      </c>
      <c r="J49" s="92"/>
      <c r="K49" s="154"/>
    </row>
    <row r="50" spans="1:11" s="76" customFormat="1" ht="24.6">
      <c r="A50" s="151" t="s">
        <v>75</v>
      </c>
      <c r="B50" s="152" t="s">
        <v>76</v>
      </c>
      <c r="C50" s="190">
        <v>200</v>
      </c>
      <c r="D50" s="85" t="s">
        <v>68</v>
      </c>
      <c r="E50" s="88">
        <v>62</v>
      </c>
      <c r="F50" s="88">
        <f t="shared" si="9"/>
        <v>12400</v>
      </c>
      <c r="G50" s="88">
        <v>20</v>
      </c>
      <c r="H50" s="88">
        <f t="shared" si="10"/>
        <v>4000</v>
      </c>
      <c r="I50" s="88">
        <f t="shared" si="11"/>
        <v>16400</v>
      </c>
      <c r="J50" s="92"/>
    </row>
    <row r="51" spans="1:11" ht="24.6">
      <c r="A51" s="151" t="s">
        <v>77</v>
      </c>
      <c r="B51" s="152" t="s">
        <v>78</v>
      </c>
      <c r="C51" s="190">
        <v>300</v>
      </c>
      <c r="D51" s="155" t="s">
        <v>68</v>
      </c>
      <c r="E51" s="88">
        <v>40</v>
      </c>
      <c r="F51" s="88">
        <f t="shared" si="9"/>
        <v>12000</v>
      </c>
      <c r="G51" s="88">
        <v>16</v>
      </c>
      <c r="H51" s="88">
        <f t="shared" si="10"/>
        <v>4800</v>
      </c>
      <c r="I51" s="88">
        <f t="shared" si="11"/>
        <v>16800</v>
      </c>
      <c r="J51" s="92"/>
    </row>
    <row r="52" spans="1:11" s="76" customFormat="1" ht="24.6">
      <c r="A52" s="151" t="s">
        <v>79</v>
      </c>
      <c r="B52" s="153" t="s">
        <v>80</v>
      </c>
      <c r="C52" s="190">
        <v>600</v>
      </c>
      <c r="D52" s="155" t="s">
        <v>68</v>
      </c>
      <c r="E52" s="88">
        <v>23</v>
      </c>
      <c r="F52" s="88">
        <f t="shared" si="9"/>
        <v>13800</v>
      </c>
      <c r="G52" s="88">
        <v>12</v>
      </c>
      <c r="H52" s="88">
        <f t="shared" si="10"/>
        <v>7200</v>
      </c>
      <c r="I52" s="88">
        <f t="shared" si="11"/>
        <v>21000</v>
      </c>
      <c r="J52" s="92"/>
    </row>
    <row r="53" spans="1:11" ht="24.6">
      <c r="A53" s="156" t="s">
        <v>81</v>
      </c>
      <c r="B53" s="140" t="s">
        <v>82</v>
      </c>
      <c r="C53" s="194">
        <v>800</v>
      </c>
      <c r="D53" s="141" t="s">
        <v>68</v>
      </c>
      <c r="E53" s="198">
        <v>14</v>
      </c>
      <c r="F53" s="198">
        <f t="shared" si="9"/>
        <v>11200</v>
      </c>
      <c r="G53" s="198">
        <v>10</v>
      </c>
      <c r="H53" s="198">
        <f t="shared" si="10"/>
        <v>8000</v>
      </c>
      <c r="I53" s="198">
        <f t="shared" si="11"/>
        <v>19200</v>
      </c>
      <c r="J53" s="142"/>
    </row>
    <row r="54" spans="1:11" ht="24.6">
      <c r="A54" s="221" t="s">
        <v>83</v>
      </c>
      <c r="B54" s="221"/>
      <c r="C54" s="221"/>
      <c r="D54" s="221"/>
      <c r="E54" s="221"/>
      <c r="F54" s="221"/>
      <c r="G54" s="221"/>
      <c r="H54" s="221"/>
      <c r="I54" s="221"/>
      <c r="J54" s="221"/>
    </row>
    <row r="55" spans="1:11" ht="24.6">
      <c r="A55" s="222" t="s">
        <v>1</v>
      </c>
      <c r="B55" s="222"/>
      <c r="C55" s="222"/>
      <c r="D55" s="222"/>
      <c r="E55" s="222"/>
      <c r="F55" s="222"/>
      <c r="G55" s="222"/>
      <c r="H55" s="222"/>
      <c r="I55" s="222"/>
      <c r="J55" s="222"/>
    </row>
    <row r="56" spans="1:11" ht="24.6">
      <c r="A56" s="48" t="s">
        <v>2</v>
      </c>
      <c r="B56" s="48"/>
      <c r="C56" s="48"/>
      <c r="D56" s="48"/>
      <c r="E56" s="48"/>
      <c r="F56" s="48"/>
      <c r="G56" s="48"/>
      <c r="H56" s="48"/>
      <c r="I56" s="48"/>
      <c r="J56" s="48"/>
    </row>
    <row r="57" spans="1:11" ht="24.6">
      <c r="A57" s="27" t="s">
        <v>3</v>
      </c>
      <c r="B57" s="27"/>
      <c r="C57" s="27"/>
      <c r="D57" s="27"/>
      <c r="E57" s="27"/>
      <c r="F57" s="27"/>
      <c r="G57" s="27"/>
      <c r="H57" s="27"/>
      <c r="I57" s="27"/>
      <c r="J57" s="27"/>
    </row>
    <row r="58" spans="1:11" ht="24.6">
      <c r="A58" s="27" t="s">
        <v>4</v>
      </c>
      <c r="B58" s="27"/>
      <c r="C58" s="27"/>
      <c r="D58" s="27"/>
      <c r="E58" s="68"/>
      <c r="F58" s="69" t="s">
        <v>5</v>
      </c>
      <c r="G58" s="27"/>
      <c r="H58" s="27"/>
      <c r="I58" s="27"/>
      <c r="J58" s="27"/>
    </row>
    <row r="59" spans="1:11" ht="24.6">
      <c r="A59" s="27" t="s">
        <v>6</v>
      </c>
      <c r="B59" s="27"/>
      <c r="C59" s="27"/>
      <c r="D59" s="27"/>
      <c r="E59" s="27"/>
      <c r="F59" s="27"/>
      <c r="G59" s="27"/>
      <c r="H59" s="27"/>
      <c r="I59" s="27"/>
      <c r="J59" s="27"/>
    </row>
    <row r="60" spans="1:11" ht="24.6">
      <c r="A60" s="27" t="s">
        <v>351</v>
      </c>
      <c r="B60" s="27"/>
      <c r="C60" s="27"/>
      <c r="D60" s="27"/>
      <c r="E60" s="29" t="s">
        <v>7</v>
      </c>
      <c r="F60" s="29" t="s">
        <v>8</v>
      </c>
      <c r="G60" s="29" t="s">
        <v>9</v>
      </c>
      <c r="H60" s="29" t="s">
        <v>10</v>
      </c>
      <c r="I60" s="29" t="s">
        <v>11</v>
      </c>
      <c r="J60" s="27"/>
    </row>
    <row r="61" spans="1:11" ht="24.6">
      <c r="A61" s="223" t="s">
        <v>12</v>
      </c>
      <c r="B61" s="223"/>
      <c r="C61" s="223"/>
      <c r="D61" s="223"/>
      <c r="E61" s="223"/>
      <c r="F61" s="223"/>
      <c r="G61" s="223"/>
      <c r="H61" s="223"/>
      <c r="I61" s="223"/>
      <c r="J61" s="223"/>
    </row>
    <row r="62" spans="1:11" ht="24.6">
      <c r="A62" s="226" t="s">
        <v>13</v>
      </c>
      <c r="B62" s="226" t="s">
        <v>14</v>
      </c>
      <c r="C62" s="226" t="s">
        <v>15</v>
      </c>
      <c r="D62" s="226" t="s">
        <v>16</v>
      </c>
      <c r="E62" s="228" t="s">
        <v>17</v>
      </c>
      <c r="F62" s="228"/>
      <c r="G62" s="228" t="s">
        <v>18</v>
      </c>
      <c r="H62" s="228"/>
      <c r="I62" s="40" t="s">
        <v>19</v>
      </c>
      <c r="J62" s="70" t="s">
        <v>20</v>
      </c>
    </row>
    <row r="63" spans="1:11" s="181" customFormat="1" ht="22.8">
      <c r="A63" s="227"/>
      <c r="B63" s="227"/>
      <c r="C63" s="227"/>
      <c r="D63" s="227"/>
      <c r="E63" s="179" t="s">
        <v>21</v>
      </c>
      <c r="F63" s="179" t="s">
        <v>22</v>
      </c>
      <c r="G63" s="179" t="s">
        <v>21</v>
      </c>
      <c r="H63" s="179" t="s">
        <v>22</v>
      </c>
      <c r="I63" s="180" t="s">
        <v>23</v>
      </c>
      <c r="J63" s="179"/>
    </row>
    <row r="64" spans="1:11" ht="24.6">
      <c r="A64" s="151" t="s">
        <v>77</v>
      </c>
      <c r="B64" s="152" t="s">
        <v>84</v>
      </c>
      <c r="C64" s="206">
        <v>1100</v>
      </c>
      <c r="D64" s="155" t="s">
        <v>68</v>
      </c>
      <c r="E64" s="88">
        <v>10</v>
      </c>
      <c r="F64" s="88">
        <f>E64*C64</f>
        <v>11000</v>
      </c>
      <c r="G64" s="88">
        <v>7</v>
      </c>
      <c r="H64" s="88">
        <f t="shared" ref="H64:H79" si="12">G64*C64</f>
        <v>7700</v>
      </c>
      <c r="I64" s="88">
        <f>F64+H64</f>
        <v>18700</v>
      </c>
      <c r="J64" s="92"/>
    </row>
    <row r="65" spans="1:10" s="76" customFormat="1" ht="24.6">
      <c r="A65" s="151" t="s">
        <v>79</v>
      </c>
      <c r="B65" s="152" t="s">
        <v>85</v>
      </c>
      <c r="C65" s="206">
        <v>700</v>
      </c>
      <c r="D65" s="155" t="s">
        <v>68</v>
      </c>
      <c r="E65" s="88">
        <v>7</v>
      </c>
      <c r="F65" s="88">
        <f t="shared" ref="F65:F79" si="13">E65*C65</f>
        <v>4900</v>
      </c>
      <c r="G65" s="88">
        <v>5</v>
      </c>
      <c r="H65" s="88">
        <f t="shared" si="12"/>
        <v>3500</v>
      </c>
      <c r="I65" s="88">
        <f t="shared" ref="I65:I79" si="14">F65+H65</f>
        <v>8400</v>
      </c>
      <c r="J65" s="57"/>
    </row>
    <row r="66" spans="1:10" s="76" customFormat="1" ht="24.6">
      <c r="A66" s="157" t="s">
        <v>81</v>
      </c>
      <c r="B66" s="158" t="s">
        <v>86</v>
      </c>
      <c r="C66" s="207">
        <v>50</v>
      </c>
      <c r="D66" s="159" t="s">
        <v>87</v>
      </c>
      <c r="E66" s="201">
        <v>1300</v>
      </c>
      <c r="F66" s="88">
        <f t="shared" si="13"/>
        <v>65000</v>
      </c>
      <c r="G66" s="201">
        <v>130</v>
      </c>
      <c r="H66" s="88">
        <f t="shared" si="12"/>
        <v>6500</v>
      </c>
      <c r="I66" s="88">
        <f t="shared" si="14"/>
        <v>71500</v>
      </c>
      <c r="J66" s="82"/>
    </row>
    <row r="67" spans="1:10" ht="24.6">
      <c r="A67" s="126" t="s">
        <v>88</v>
      </c>
      <c r="B67" s="146" t="s">
        <v>89</v>
      </c>
      <c r="C67" s="206">
        <v>60</v>
      </c>
      <c r="D67" s="155" t="s">
        <v>90</v>
      </c>
      <c r="E67" s="88">
        <v>30.6</v>
      </c>
      <c r="F67" s="88">
        <f t="shared" si="13"/>
        <v>1836</v>
      </c>
      <c r="G67" s="88">
        <v>20</v>
      </c>
      <c r="H67" s="88">
        <f t="shared" si="12"/>
        <v>1200</v>
      </c>
      <c r="I67" s="88">
        <f t="shared" si="14"/>
        <v>3036</v>
      </c>
      <c r="J67" s="57"/>
    </row>
    <row r="68" spans="1:10" s="76" customFormat="1" ht="24.6">
      <c r="A68" s="126" t="s">
        <v>91</v>
      </c>
      <c r="B68" s="146" t="s">
        <v>92</v>
      </c>
      <c r="C68" s="206">
        <v>60</v>
      </c>
      <c r="D68" s="155" t="s">
        <v>90</v>
      </c>
      <c r="E68" s="88">
        <v>44.8</v>
      </c>
      <c r="F68" s="88">
        <f t="shared" si="13"/>
        <v>2688</v>
      </c>
      <c r="G68" s="88">
        <v>22</v>
      </c>
      <c r="H68" s="88">
        <f t="shared" si="12"/>
        <v>1320</v>
      </c>
      <c r="I68" s="88">
        <f t="shared" si="14"/>
        <v>4008</v>
      </c>
      <c r="J68" s="57"/>
    </row>
    <row r="69" spans="1:10" s="76" customFormat="1" ht="24.6">
      <c r="A69" s="126" t="s">
        <v>93</v>
      </c>
      <c r="B69" s="146" t="s">
        <v>94</v>
      </c>
      <c r="C69" s="206">
        <v>75</v>
      </c>
      <c r="D69" s="155" t="s">
        <v>90</v>
      </c>
      <c r="E69" s="88">
        <v>63.7</v>
      </c>
      <c r="F69" s="88">
        <f t="shared" si="13"/>
        <v>4777.5</v>
      </c>
      <c r="G69" s="88">
        <v>24</v>
      </c>
      <c r="H69" s="88">
        <f t="shared" si="12"/>
        <v>1800</v>
      </c>
      <c r="I69" s="88">
        <f t="shared" si="14"/>
        <v>6577.5</v>
      </c>
      <c r="J69" s="57"/>
    </row>
    <row r="70" spans="1:10" ht="24.6">
      <c r="A70" s="126" t="s">
        <v>95</v>
      </c>
      <c r="B70" s="146" t="s">
        <v>96</v>
      </c>
      <c r="C70" s="206">
        <v>120</v>
      </c>
      <c r="D70" s="155" t="s">
        <v>97</v>
      </c>
      <c r="E70" s="88">
        <v>25</v>
      </c>
      <c r="F70" s="88">
        <f t="shared" si="13"/>
        <v>3000</v>
      </c>
      <c r="G70" s="88">
        <v>12</v>
      </c>
      <c r="H70" s="88">
        <f t="shared" si="12"/>
        <v>1440</v>
      </c>
      <c r="I70" s="88">
        <f t="shared" si="14"/>
        <v>4440</v>
      </c>
      <c r="J70" s="57"/>
    </row>
    <row r="71" spans="1:10" ht="24.6">
      <c r="A71" s="126" t="s">
        <v>98</v>
      </c>
      <c r="B71" s="90" t="s">
        <v>99</v>
      </c>
      <c r="C71" s="206">
        <v>18</v>
      </c>
      <c r="D71" s="155" t="s">
        <v>97</v>
      </c>
      <c r="E71" s="88">
        <v>35</v>
      </c>
      <c r="F71" s="88">
        <f t="shared" si="13"/>
        <v>630</v>
      </c>
      <c r="G71" s="88">
        <v>12</v>
      </c>
      <c r="H71" s="88">
        <f t="shared" si="12"/>
        <v>216</v>
      </c>
      <c r="I71" s="88">
        <f t="shared" si="14"/>
        <v>846</v>
      </c>
      <c r="J71" s="57"/>
    </row>
    <row r="72" spans="1:10" s="76" customFormat="1" ht="24.6">
      <c r="A72" s="126" t="s">
        <v>100</v>
      </c>
      <c r="B72" s="96" t="s">
        <v>101</v>
      </c>
      <c r="C72" s="206">
        <v>24</v>
      </c>
      <c r="D72" s="160" t="s">
        <v>102</v>
      </c>
      <c r="E72" s="202">
        <v>95</v>
      </c>
      <c r="F72" s="88">
        <f t="shared" si="13"/>
        <v>2280</v>
      </c>
      <c r="G72" s="202">
        <v>80</v>
      </c>
      <c r="H72" s="88">
        <f t="shared" si="12"/>
        <v>1920</v>
      </c>
      <c r="I72" s="88">
        <f t="shared" si="14"/>
        <v>4200</v>
      </c>
      <c r="J72" s="57"/>
    </row>
    <row r="73" spans="1:10" ht="24.6">
      <c r="A73" s="126" t="s">
        <v>103</v>
      </c>
      <c r="B73" s="146" t="s">
        <v>104</v>
      </c>
      <c r="C73" s="206">
        <v>82</v>
      </c>
      <c r="D73" s="160" t="s">
        <v>102</v>
      </c>
      <c r="E73" s="202">
        <v>135</v>
      </c>
      <c r="F73" s="88">
        <f t="shared" si="13"/>
        <v>11070</v>
      </c>
      <c r="G73" s="202">
        <v>90</v>
      </c>
      <c r="H73" s="88">
        <f t="shared" si="12"/>
        <v>7380</v>
      </c>
      <c r="I73" s="88">
        <f t="shared" si="14"/>
        <v>18450</v>
      </c>
      <c r="J73" s="57"/>
    </row>
    <row r="74" spans="1:10" ht="24.6">
      <c r="A74" s="126" t="s">
        <v>105</v>
      </c>
      <c r="B74" s="67" t="s">
        <v>106</v>
      </c>
      <c r="C74" s="206">
        <v>41</v>
      </c>
      <c r="D74" s="115" t="s">
        <v>102</v>
      </c>
      <c r="E74" s="202">
        <v>1186</v>
      </c>
      <c r="F74" s="88">
        <f t="shared" si="13"/>
        <v>48626</v>
      </c>
      <c r="G74" s="202">
        <v>150</v>
      </c>
      <c r="H74" s="88">
        <f t="shared" si="12"/>
        <v>6150</v>
      </c>
      <c r="I74" s="88">
        <f t="shared" si="14"/>
        <v>54776</v>
      </c>
      <c r="J74" s="57"/>
    </row>
    <row r="75" spans="1:10" ht="24.6">
      <c r="A75" s="126"/>
      <c r="B75" s="161" t="s">
        <v>107</v>
      </c>
      <c r="C75" s="206"/>
      <c r="D75" s="115"/>
      <c r="E75" s="202"/>
      <c r="F75" s="88"/>
      <c r="G75" s="202"/>
      <c r="H75" s="88"/>
      <c r="I75" s="88"/>
      <c r="J75" s="57"/>
    </row>
    <row r="76" spans="1:10" s="76" customFormat="1" ht="24.6">
      <c r="A76" s="126" t="s">
        <v>108</v>
      </c>
      <c r="B76" s="146" t="s">
        <v>109</v>
      </c>
      <c r="C76" s="204">
        <v>1</v>
      </c>
      <c r="D76" s="115" t="s">
        <v>102</v>
      </c>
      <c r="E76" s="202">
        <v>120000</v>
      </c>
      <c r="F76" s="88">
        <f t="shared" si="13"/>
        <v>120000</v>
      </c>
      <c r="G76" s="202">
        <v>5000</v>
      </c>
      <c r="H76" s="88">
        <f t="shared" si="12"/>
        <v>5000</v>
      </c>
      <c r="I76" s="88">
        <f t="shared" si="14"/>
        <v>125000</v>
      </c>
      <c r="J76" s="99"/>
    </row>
    <row r="77" spans="1:10" s="76" customFormat="1" ht="24.6">
      <c r="A77" s="126" t="s">
        <v>110</v>
      </c>
      <c r="B77" s="35" t="s">
        <v>111</v>
      </c>
      <c r="C77" s="205">
        <v>5</v>
      </c>
      <c r="D77" s="35" t="s">
        <v>102</v>
      </c>
      <c r="E77" s="202">
        <v>11240</v>
      </c>
      <c r="F77" s="88">
        <f t="shared" si="13"/>
        <v>56200</v>
      </c>
      <c r="G77" s="202">
        <v>1200</v>
      </c>
      <c r="H77" s="88">
        <f t="shared" si="12"/>
        <v>6000</v>
      </c>
      <c r="I77" s="88">
        <f t="shared" si="14"/>
        <v>62200</v>
      </c>
      <c r="J77" s="99"/>
    </row>
    <row r="78" spans="1:10" ht="24.6">
      <c r="A78" s="126" t="s">
        <v>112</v>
      </c>
      <c r="B78" s="35" t="s">
        <v>113</v>
      </c>
      <c r="C78" s="205">
        <v>2</v>
      </c>
      <c r="D78" s="35" t="s">
        <v>102</v>
      </c>
      <c r="E78" s="202">
        <v>830</v>
      </c>
      <c r="F78" s="88">
        <f t="shared" si="13"/>
        <v>1660</v>
      </c>
      <c r="G78" s="202">
        <v>345</v>
      </c>
      <c r="H78" s="88">
        <f t="shared" si="12"/>
        <v>690</v>
      </c>
      <c r="I78" s="88">
        <f t="shared" si="14"/>
        <v>2350</v>
      </c>
      <c r="J78" s="92"/>
    </row>
    <row r="79" spans="1:10" ht="24.6">
      <c r="A79" s="126" t="s">
        <v>114</v>
      </c>
      <c r="B79" s="35" t="s">
        <v>115</v>
      </c>
      <c r="C79" s="205">
        <v>1</v>
      </c>
      <c r="D79" s="35" t="s">
        <v>102</v>
      </c>
      <c r="E79" s="202">
        <v>32000</v>
      </c>
      <c r="F79" s="88">
        <f t="shared" si="13"/>
        <v>32000</v>
      </c>
      <c r="G79" s="202"/>
      <c r="H79" s="88"/>
      <c r="I79" s="88">
        <f t="shared" si="14"/>
        <v>32000</v>
      </c>
      <c r="J79" s="92"/>
    </row>
    <row r="80" spans="1:10" ht="24.6">
      <c r="A80" s="162"/>
      <c r="B80" s="163" t="s">
        <v>116</v>
      </c>
      <c r="C80" s="208"/>
      <c r="D80" s="164"/>
      <c r="E80" s="195"/>
      <c r="F80" s="195">
        <f>SUM(F64:F79,F46:F53)</f>
        <v>923267.5</v>
      </c>
      <c r="G80" s="195"/>
      <c r="H80" s="195">
        <f>SUM(H64:H79,H46:H53)</f>
        <v>156316</v>
      </c>
      <c r="I80" s="195">
        <f>SUM(I64:I79,I46:I53)</f>
        <v>1079583.5</v>
      </c>
      <c r="J80" s="92"/>
    </row>
    <row r="81" spans="1:10" ht="24.6">
      <c r="A81" s="104"/>
      <c r="B81" s="165" t="s">
        <v>117</v>
      </c>
      <c r="C81" s="105"/>
      <c r="D81" s="166"/>
      <c r="E81" s="203"/>
      <c r="F81" s="203">
        <f>SUM(F80,F44,F22)</f>
        <v>1180575.5</v>
      </c>
      <c r="G81" s="203"/>
      <c r="H81" s="203">
        <f>SUM(H80,H44,H22)</f>
        <v>475402.8</v>
      </c>
      <c r="I81" s="203">
        <f>SUM(I80,I44,I22)</f>
        <v>1655978.3</v>
      </c>
      <c r="J81" s="105"/>
    </row>
    <row r="82" spans="1:10" ht="24.6">
      <c r="A82" s="221" t="s">
        <v>118</v>
      </c>
      <c r="B82" s="221"/>
      <c r="C82" s="221"/>
      <c r="D82" s="221"/>
      <c r="E82" s="221"/>
      <c r="F82" s="221"/>
      <c r="G82" s="221"/>
      <c r="H82" s="221"/>
      <c r="I82" s="221"/>
      <c r="J82" s="221"/>
    </row>
    <row r="83" spans="1:10" ht="24.6">
      <c r="A83" s="222" t="s">
        <v>1</v>
      </c>
      <c r="B83" s="222"/>
      <c r="C83" s="222"/>
      <c r="D83" s="222"/>
      <c r="E83" s="222"/>
      <c r="F83" s="222"/>
      <c r="G83" s="222"/>
      <c r="H83" s="222"/>
      <c r="I83" s="222"/>
      <c r="J83" s="222"/>
    </row>
    <row r="84" spans="1:10" ht="24.6">
      <c r="A84" s="48" t="s">
        <v>2</v>
      </c>
      <c r="B84" s="48"/>
      <c r="C84" s="48"/>
      <c r="D84" s="48"/>
      <c r="E84" s="48"/>
      <c r="F84" s="48"/>
      <c r="G84" s="48"/>
      <c r="H84" s="48"/>
      <c r="I84" s="48"/>
      <c r="J84" s="48"/>
    </row>
    <row r="85" spans="1:10" ht="24.6">
      <c r="A85" s="27" t="s">
        <v>3</v>
      </c>
      <c r="B85" s="27"/>
      <c r="C85" s="27"/>
      <c r="D85" s="27"/>
      <c r="E85" s="27"/>
      <c r="F85" s="27"/>
      <c r="G85" s="27"/>
      <c r="H85" s="27"/>
      <c r="I85" s="27"/>
      <c r="J85" s="27"/>
    </row>
    <row r="86" spans="1:10" ht="24.6">
      <c r="A86" s="27" t="s">
        <v>4</v>
      </c>
      <c r="B86" s="27"/>
      <c r="C86" s="27"/>
      <c r="D86" s="27"/>
      <c r="E86" s="68"/>
      <c r="F86" s="69" t="s">
        <v>5</v>
      </c>
      <c r="G86" s="27"/>
      <c r="H86" s="27"/>
      <c r="I86" s="27"/>
      <c r="J86" s="27"/>
    </row>
    <row r="87" spans="1:10" ht="24.6">
      <c r="A87" s="27" t="s">
        <v>6</v>
      </c>
      <c r="B87" s="27"/>
      <c r="C87" s="27"/>
      <c r="D87" s="27"/>
      <c r="E87" s="27"/>
      <c r="F87" s="27"/>
      <c r="G87" s="27"/>
      <c r="H87" s="27"/>
      <c r="I87" s="27"/>
      <c r="J87" s="27"/>
    </row>
    <row r="88" spans="1:10" ht="24.6">
      <c r="A88" s="27" t="s">
        <v>351</v>
      </c>
      <c r="B88" s="27"/>
      <c r="C88" s="27"/>
      <c r="D88" s="27"/>
      <c r="E88" s="29" t="s">
        <v>7</v>
      </c>
      <c r="F88" s="29" t="s">
        <v>8</v>
      </c>
      <c r="G88" s="29" t="s">
        <v>9</v>
      </c>
      <c r="H88" s="29" t="s">
        <v>10</v>
      </c>
      <c r="I88" s="29" t="s">
        <v>11</v>
      </c>
      <c r="J88" s="27"/>
    </row>
    <row r="89" spans="1:10" ht="24.6">
      <c r="A89" s="223" t="s">
        <v>12</v>
      </c>
      <c r="B89" s="223"/>
      <c r="C89" s="223"/>
      <c r="D89" s="223"/>
      <c r="E89" s="223"/>
      <c r="F89" s="223"/>
      <c r="G89" s="223"/>
      <c r="H89" s="223"/>
      <c r="I89" s="223"/>
      <c r="J89" s="223"/>
    </row>
    <row r="90" spans="1:10" ht="24.6">
      <c r="A90" s="226" t="s">
        <v>13</v>
      </c>
      <c r="B90" s="226" t="s">
        <v>14</v>
      </c>
      <c r="C90" s="226" t="s">
        <v>15</v>
      </c>
      <c r="D90" s="226" t="s">
        <v>16</v>
      </c>
      <c r="E90" s="228" t="s">
        <v>17</v>
      </c>
      <c r="F90" s="228"/>
      <c r="G90" s="228" t="s">
        <v>18</v>
      </c>
      <c r="H90" s="228"/>
      <c r="I90" s="40" t="s">
        <v>19</v>
      </c>
      <c r="J90" s="70" t="s">
        <v>20</v>
      </c>
    </row>
    <row r="91" spans="1:10" s="181" customFormat="1" ht="22.8">
      <c r="A91" s="227"/>
      <c r="B91" s="227"/>
      <c r="C91" s="227"/>
      <c r="D91" s="227"/>
      <c r="E91" s="179" t="s">
        <v>21</v>
      </c>
      <c r="F91" s="179" t="s">
        <v>22</v>
      </c>
      <c r="G91" s="179" t="s">
        <v>21</v>
      </c>
      <c r="H91" s="179" t="s">
        <v>22</v>
      </c>
      <c r="I91" s="180" t="s">
        <v>23</v>
      </c>
      <c r="J91" s="179"/>
    </row>
    <row r="92" spans="1:10" ht="24.6">
      <c r="A92" s="148" t="s">
        <v>119</v>
      </c>
      <c r="B92" s="150" t="s">
        <v>120</v>
      </c>
      <c r="C92" s="99"/>
      <c r="D92" s="125"/>
      <c r="E92" s="149"/>
      <c r="F92" s="99"/>
      <c r="G92" s="149"/>
      <c r="H92" s="99"/>
      <c r="I92" s="99"/>
      <c r="J92" s="75"/>
    </row>
    <row r="93" spans="1:10" ht="24.6">
      <c r="A93" s="163" t="s">
        <v>121</v>
      </c>
      <c r="B93" s="167" t="s">
        <v>122</v>
      </c>
      <c r="C93" s="99"/>
      <c r="D93" s="125"/>
      <c r="E93" s="149"/>
      <c r="F93" s="99"/>
      <c r="G93" s="149"/>
      <c r="H93" s="99"/>
      <c r="I93" s="99"/>
      <c r="J93" s="57"/>
    </row>
    <row r="94" spans="1:10" ht="24.6">
      <c r="A94" s="126" t="s">
        <v>123</v>
      </c>
      <c r="B94" s="168" t="s">
        <v>124</v>
      </c>
      <c r="C94" s="209">
        <v>141.69999999999999</v>
      </c>
      <c r="D94" s="85" t="s">
        <v>125</v>
      </c>
      <c r="E94" s="266">
        <v>100</v>
      </c>
      <c r="F94" s="266">
        <f>SUM(C94*E94)</f>
        <v>14169.999999999998</v>
      </c>
      <c r="G94" s="266">
        <v>25</v>
      </c>
      <c r="H94" s="266">
        <f>SUM(C94*G94)</f>
        <v>3542.4999999999995</v>
      </c>
      <c r="I94" s="266">
        <f>SUM(F94+H94)</f>
        <v>17712.499999999996</v>
      </c>
      <c r="J94" s="57"/>
    </row>
    <row r="95" spans="1:10" s="76" customFormat="1" ht="24.6">
      <c r="A95" s="126" t="s">
        <v>126</v>
      </c>
      <c r="B95" s="152" t="s">
        <v>127</v>
      </c>
      <c r="C95" s="209">
        <v>9.68</v>
      </c>
      <c r="D95" s="85" t="s">
        <v>125</v>
      </c>
      <c r="E95" s="266">
        <v>529.6</v>
      </c>
      <c r="F95" s="266">
        <f t="shared" ref="F95:F97" si="15">SUM(C95*E95)</f>
        <v>5126.5280000000002</v>
      </c>
      <c r="G95" s="266">
        <v>104</v>
      </c>
      <c r="H95" s="266">
        <f t="shared" ref="H95:H97" si="16">SUM(C95*G95)</f>
        <v>1006.72</v>
      </c>
      <c r="I95" s="266">
        <f t="shared" ref="I95:I97" si="17">SUM(F95+H95)</f>
        <v>6133.2480000000005</v>
      </c>
      <c r="J95" s="99"/>
    </row>
    <row r="96" spans="1:10" s="76" customFormat="1" ht="24.6">
      <c r="A96" s="80" t="s">
        <v>128</v>
      </c>
      <c r="B96" s="146" t="s">
        <v>129</v>
      </c>
      <c r="C96" s="209">
        <v>0.19</v>
      </c>
      <c r="D96" s="85" t="s">
        <v>125</v>
      </c>
      <c r="E96" s="266">
        <v>1610</v>
      </c>
      <c r="F96" s="266">
        <f>SUM(C96*E96)</f>
        <v>305.89999999999998</v>
      </c>
      <c r="G96" s="266">
        <v>327</v>
      </c>
      <c r="H96" s="266">
        <f t="shared" si="16"/>
        <v>62.13</v>
      </c>
      <c r="I96" s="266">
        <f t="shared" si="17"/>
        <v>368.03</v>
      </c>
      <c r="J96" s="99"/>
    </row>
    <row r="97" spans="1:10" ht="24.6">
      <c r="A97" s="80" t="s">
        <v>130</v>
      </c>
      <c r="B97" s="87" t="s">
        <v>131</v>
      </c>
      <c r="C97" s="209">
        <v>6.45</v>
      </c>
      <c r="D97" s="118" t="s">
        <v>125</v>
      </c>
      <c r="E97" s="266">
        <v>1906.54</v>
      </c>
      <c r="F97" s="266">
        <f t="shared" si="15"/>
        <v>12297.183000000001</v>
      </c>
      <c r="G97" s="266">
        <v>327</v>
      </c>
      <c r="H97" s="266">
        <f t="shared" si="16"/>
        <v>2109.15</v>
      </c>
      <c r="I97" s="266">
        <f t="shared" si="17"/>
        <v>14406.333000000001</v>
      </c>
      <c r="J97" s="57"/>
    </row>
    <row r="98" spans="1:10" ht="24.6">
      <c r="A98" s="80" t="s">
        <v>132</v>
      </c>
      <c r="B98" s="152" t="s">
        <v>133</v>
      </c>
      <c r="C98" s="209"/>
      <c r="D98" s="85"/>
      <c r="E98" s="266"/>
      <c r="F98" s="266"/>
      <c r="G98" s="266"/>
      <c r="H98" s="266"/>
      <c r="I98" s="266"/>
      <c r="J98" s="57"/>
    </row>
    <row r="99" spans="1:10" s="76" customFormat="1" ht="24.6">
      <c r="A99" s="148"/>
      <c r="B99" s="169" t="s">
        <v>134</v>
      </c>
      <c r="C99" s="209">
        <v>141.75</v>
      </c>
      <c r="D99" s="170" t="s">
        <v>135</v>
      </c>
      <c r="E99" s="266">
        <v>21.26</v>
      </c>
      <c r="F99" s="266">
        <f t="shared" ref="F99:F104" si="18">SUM(C99*E99)</f>
        <v>3013.605</v>
      </c>
      <c r="G99" s="266">
        <v>3.6</v>
      </c>
      <c r="H99" s="266">
        <f t="shared" ref="H99:H104" si="19">SUM(C99*G99)</f>
        <v>510.3</v>
      </c>
      <c r="I99" s="266">
        <f t="shared" ref="I99:I104" si="20">SUM(F99+H99)</f>
        <v>3523.9050000000002</v>
      </c>
      <c r="J99" s="99"/>
    </row>
    <row r="100" spans="1:10" s="76" customFormat="1" ht="24.6">
      <c r="A100" s="148"/>
      <c r="B100" s="153" t="s">
        <v>136</v>
      </c>
      <c r="C100" s="209">
        <v>82.22</v>
      </c>
      <c r="D100" s="170" t="s">
        <v>135</v>
      </c>
      <c r="E100" s="266">
        <v>22.88</v>
      </c>
      <c r="F100" s="266">
        <f t="shared" si="18"/>
        <v>1881.1935999999998</v>
      </c>
      <c r="G100" s="266">
        <v>4.4000000000000004</v>
      </c>
      <c r="H100" s="266">
        <f t="shared" si="19"/>
        <v>361.76800000000003</v>
      </c>
      <c r="I100" s="266">
        <f t="shared" si="20"/>
        <v>2242.9615999999996</v>
      </c>
      <c r="J100" s="99"/>
    </row>
    <row r="101" spans="1:10" s="76" customFormat="1" ht="24.6">
      <c r="A101" s="148"/>
      <c r="B101" s="152" t="s">
        <v>137</v>
      </c>
      <c r="C101" s="209">
        <v>41.28</v>
      </c>
      <c r="D101" s="171" t="s">
        <v>135</v>
      </c>
      <c r="E101" s="266">
        <v>23.84</v>
      </c>
      <c r="F101" s="266">
        <f t="shared" si="18"/>
        <v>984.11520000000007</v>
      </c>
      <c r="G101" s="266">
        <v>4.4000000000000004</v>
      </c>
      <c r="H101" s="266">
        <f t="shared" si="19"/>
        <v>181.63200000000003</v>
      </c>
      <c r="I101" s="266">
        <f t="shared" si="20"/>
        <v>1165.7472</v>
      </c>
      <c r="J101" s="99"/>
    </row>
    <row r="102" spans="1:10" s="76" customFormat="1" ht="24.6">
      <c r="A102" s="80" t="s">
        <v>138</v>
      </c>
      <c r="B102" s="170" t="s">
        <v>139</v>
      </c>
      <c r="C102" s="209">
        <v>49.67</v>
      </c>
      <c r="D102" s="170" t="s">
        <v>135</v>
      </c>
      <c r="E102" s="266">
        <v>26</v>
      </c>
      <c r="F102" s="266">
        <f t="shared" si="18"/>
        <v>1291.42</v>
      </c>
      <c r="G102" s="266">
        <v>5</v>
      </c>
      <c r="H102" s="266">
        <f t="shared" si="19"/>
        <v>248.35000000000002</v>
      </c>
      <c r="I102" s="266">
        <f t="shared" si="20"/>
        <v>1539.77</v>
      </c>
      <c r="J102" s="99"/>
    </row>
    <row r="103" spans="1:10" ht="24.6">
      <c r="A103" s="80" t="s">
        <v>140</v>
      </c>
      <c r="B103" s="170" t="s">
        <v>141</v>
      </c>
      <c r="C103" s="209">
        <v>22.11</v>
      </c>
      <c r="D103" s="170" t="s">
        <v>142</v>
      </c>
      <c r="E103" s="266">
        <v>400</v>
      </c>
      <c r="F103" s="266">
        <f t="shared" si="18"/>
        <v>8844</v>
      </c>
      <c r="G103" s="266">
        <v>121.3</v>
      </c>
      <c r="H103" s="266">
        <f t="shared" si="19"/>
        <v>2681.9429999999998</v>
      </c>
      <c r="I103" s="266">
        <f t="shared" si="20"/>
        <v>11525.942999999999</v>
      </c>
      <c r="J103" s="57"/>
    </row>
    <row r="104" spans="1:10" ht="24.6">
      <c r="A104" s="77" t="s">
        <v>143</v>
      </c>
      <c r="B104" s="152" t="s">
        <v>144</v>
      </c>
      <c r="C104" s="209">
        <v>6.06</v>
      </c>
      <c r="D104" s="170" t="s">
        <v>135</v>
      </c>
      <c r="E104" s="266">
        <v>36</v>
      </c>
      <c r="F104" s="266">
        <f t="shared" si="18"/>
        <v>218.16</v>
      </c>
      <c r="G104" s="266"/>
      <c r="H104" s="266"/>
      <c r="I104" s="266">
        <f t="shared" si="20"/>
        <v>218.16</v>
      </c>
      <c r="J104" s="57"/>
    </row>
    <row r="105" spans="1:10" ht="24.6">
      <c r="A105" s="139"/>
      <c r="B105" s="165" t="s">
        <v>145</v>
      </c>
      <c r="C105" s="105"/>
      <c r="D105" s="166"/>
      <c r="E105" s="267"/>
      <c r="F105" s="267">
        <f>SUM(F94:F104)</f>
        <v>48132.104800000001</v>
      </c>
      <c r="G105" s="267"/>
      <c r="H105" s="267">
        <f>SUM(H94:H104)</f>
        <v>10704.493</v>
      </c>
      <c r="I105" s="267">
        <f>SUM(I94:I104)</f>
        <v>58836.597799999996</v>
      </c>
      <c r="J105" s="142"/>
    </row>
    <row r="106" spans="1:10" ht="24.6">
      <c r="A106" s="221" t="s">
        <v>146</v>
      </c>
      <c r="B106" s="221"/>
      <c r="C106" s="221"/>
      <c r="D106" s="221"/>
      <c r="E106" s="221"/>
      <c r="F106" s="221"/>
      <c r="G106" s="221"/>
      <c r="H106" s="221"/>
      <c r="I106" s="221"/>
      <c r="J106" s="221"/>
    </row>
    <row r="107" spans="1:10" ht="24.6">
      <c r="A107" s="222" t="s">
        <v>1</v>
      </c>
      <c r="B107" s="222"/>
      <c r="C107" s="222"/>
      <c r="D107" s="222"/>
      <c r="E107" s="222"/>
      <c r="F107" s="222"/>
      <c r="G107" s="222"/>
      <c r="H107" s="222"/>
      <c r="I107" s="222"/>
      <c r="J107" s="222"/>
    </row>
    <row r="108" spans="1:10" ht="24.6">
      <c r="A108" s="48" t="s">
        <v>2</v>
      </c>
      <c r="B108" s="48"/>
      <c r="C108" s="48"/>
      <c r="D108" s="48"/>
      <c r="E108" s="48"/>
      <c r="F108" s="48"/>
      <c r="G108" s="48"/>
      <c r="H108" s="48"/>
      <c r="I108" s="48"/>
      <c r="J108" s="48"/>
    </row>
    <row r="109" spans="1:10" ht="24.6">
      <c r="A109" s="27" t="s">
        <v>3</v>
      </c>
      <c r="B109" s="27"/>
      <c r="C109" s="27"/>
      <c r="D109" s="27"/>
      <c r="E109" s="27"/>
      <c r="F109" s="27"/>
      <c r="G109" s="27"/>
      <c r="H109" s="27"/>
      <c r="I109" s="27"/>
      <c r="J109" s="27"/>
    </row>
    <row r="110" spans="1:10" ht="24.6">
      <c r="A110" s="27" t="s">
        <v>4</v>
      </c>
      <c r="B110" s="27"/>
      <c r="C110" s="27"/>
      <c r="D110" s="27"/>
      <c r="E110" s="68"/>
      <c r="F110" s="69" t="s">
        <v>5</v>
      </c>
      <c r="G110" s="27"/>
      <c r="H110" s="27"/>
      <c r="I110" s="27"/>
      <c r="J110" s="27"/>
    </row>
    <row r="111" spans="1:10" ht="24.6">
      <c r="A111" s="27" t="s">
        <v>6</v>
      </c>
      <c r="B111" s="27"/>
      <c r="C111" s="27"/>
      <c r="D111" s="27"/>
      <c r="E111" s="27"/>
      <c r="F111" s="27"/>
      <c r="G111" s="27"/>
      <c r="H111" s="27"/>
      <c r="I111" s="27"/>
      <c r="J111" s="27"/>
    </row>
    <row r="112" spans="1:10" ht="24.6">
      <c r="A112" s="27" t="s">
        <v>351</v>
      </c>
      <c r="B112" s="27"/>
      <c r="C112" s="27"/>
      <c r="D112" s="27"/>
      <c r="E112" s="29" t="s">
        <v>7</v>
      </c>
      <c r="F112" s="29" t="s">
        <v>8</v>
      </c>
      <c r="G112" s="29" t="s">
        <v>9</v>
      </c>
      <c r="H112" s="29" t="s">
        <v>10</v>
      </c>
      <c r="I112" s="29" t="s">
        <v>11</v>
      </c>
      <c r="J112" s="27"/>
    </row>
    <row r="113" spans="1:10" ht="24.6">
      <c r="A113" s="223" t="s">
        <v>12</v>
      </c>
      <c r="B113" s="223"/>
      <c r="C113" s="223"/>
      <c r="D113" s="223"/>
      <c r="E113" s="223"/>
      <c r="F113" s="223"/>
      <c r="G113" s="223"/>
      <c r="H113" s="223"/>
      <c r="I113" s="223"/>
      <c r="J113" s="223"/>
    </row>
    <row r="114" spans="1:10" ht="24.6">
      <c r="A114" s="226" t="s">
        <v>13</v>
      </c>
      <c r="B114" s="226" t="s">
        <v>14</v>
      </c>
      <c r="C114" s="226" t="s">
        <v>15</v>
      </c>
      <c r="D114" s="226" t="s">
        <v>16</v>
      </c>
      <c r="E114" s="228" t="s">
        <v>17</v>
      </c>
      <c r="F114" s="228"/>
      <c r="G114" s="228" t="s">
        <v>18</v>
      </c>
      <c r="H114" s="228"/>
      <c r="I114" s="40" t="s">
        <v>19</v>
      </c>
      <c r="J114" s="70" t="s">
        <v>20</v>
      </c>
    </row>
    <row r="115" spans="1:10" s="181" customFormat="1" ht="22.8">
      <c r="A115" s="227"/>
      <c r="B115" s="227"/>
      <c r="C115" s="227"/>
      <c r="D115" s="227"/>
      <c r="E115" s="179" t="s">
        <v>21</v>
      </c>
      <c r="F115" s="179" t="s">
        <v>22</v>
      </c>
      <c r="G115" s="179" t="s">
        <v>21</v>
      </c>
      <c r="H115" s="179" t="s">
        <v>22</v>
      </c>
      <c r="I115" s="180" t="s">
        <v>23</v>
      </c>
      <c r="J115" s="179"/>
    </row>
    <row r="116" spans="1:10" ht="24.6">
      <c r="A116" s="103">
        <v>3.2</v>
      </c>
      <c r="B116" s="127" t="s">
        <v>44</v>
      </c>
      <c r="C116" s="99"/>
      <c r="D116" s="125"/>
      <c r="E116" s="99"/>
      <c r="F116" s="99"/>
      <c r="G116" s="99"/>
      <c r="H116" s="99"/>
      <c r="I116" s="99"/>
      <c r="J116" s="54"/>
    </row>
    <row r="117" spans="1:10" ht="24.6">
      <c r="A117" s="77" t="s">
        <v>147</v>
      </c>
      <c r="B117" s="153" t="s">
        <v>148</v>
      </c>
      <c r="C117" s="57">
        <v>27</v>
      </c>
      <c r="D117" s="85" t="s">
        <v>39</v>
      </c>
      <c r="E117" s="88">
        <v>300</v>
      </c>
      <c r="F117" s="88">
        <f>SUM(C117*E117)</f>
        <v>8100</v>
      </c>
      <c r="G117" s="88">
        <v>158</v>
      </c>
      <c r="H117" s="88">
        <f>SUM(C117*G117)</f>
        <v>4266</v>
      </c>
      <c r="I117" s="88">
        <f>SUM(F117+H117)</f>
        <v>12366</v>
      </c>
      <c r="J117" s="99"/>
    </row>
    <row r="118" spans="1:10" ht="24.6">
      <c r="A118" s="77" t="s">
        <v>149</v>
      </c>
      <c r="B118" s="96" t="s">
        <v>150</v>
      </c>
      <c r="C118" s="92">
        <v>23</v>
      </c>
      <c r="D118" s="102" t="s">
        <v>39</v>
      </c>
      <c r="E118" s="210">
        <v>315</v>
      </c>
      <c r="F118" s="88">
        <f t="shared" ref="F118:F129" si="21">SUM(C118*E118)</f>
        <v>7245</v>
      </c>
      <c r="G118" s="210">
        <v>158</v>
      </c>
      <c r="H118" s="88">
        <f t="shared" ref="H118:H129" si="22">SUM(C118*G118)</f>
        <v>3634</v>
      </c>
      <c r="I118" s="88">
        <f t="shared" ref="I118:I129" si="23">SUM(F118+H118)</f>
        <v>10879</v>
      </c>
      <c r="J118" s="57"/>
    </row>
    <row r="119" spans="1:10" ht="24.6">
      <c r="A119" s="36" t="s">
        <v>151</v>
      </c>
      <c r="B119" s="153" t="s">
        <v>152</v>
      </c>
      <c r="C119" s="57">
        <v>75.680000000000007</v>
      </c>
      <c r="D119" s="102" t="s">
        <v>39</v>
      </c>
      <c r="E119" s="88">
        <v>75</v>
      </c>
      <c r="F119" s="88">
        <f t="shared" si="21"/>
        <v>5676.0000000000009</v>
      </c>
      <c r="G119" s="88">
        <v>85</v>
      </c>
      <c r="H119" s="88">
        <f t="shared" si="22"/>
        <v>6432.8</v>
      </c>
      <c r="I119" s="88">
        <f t="shared" si="23"/>
        <v>12108.800000000001</v>
      </c>
      <c r="J119" s="57"/>
    </row>
    <row r="120" spans="1:10" ht="24.6">
      <c r="A120" s="80" t="s">
        <v>153</v>
      </c>
      <c r="B120" s="90" t="s">
        <v>154</v>
      </c>
      <c r="C120" s="57">
        <v>10.82</v>
      </c>
      <c r="D120" s="172" t="s">
        <v>39</v>
      </c>
      <c r="E120" s="88">
        <v>400</v>
      </c>
      <c r="F120" s="88">
        <f t="shared" si="21"/>
        <v>4328</v>
      </c>
      <c r="G120" s="88">
        <v>158</v>
      </c>
      <c r="H120" s="88">
        <f t="shared" si="22"/>
        <v>1709.56</v>
      </c>
      <c r="I120" s="88">
        <f t="shared" si="23"/>
        <v>6037.5599999999995</v>
      </c>
      <c r="J120" s="92"/>
    </row>
    <row r="121" spans="1:10" ht="24.6">
      <c r="A121" s="126" t="s">
        <v>155</v>
      </c>
      <c r="B121" s="115" t="s">
        <v>156</v>
      </c>
      <c r="C121" s="57">
        <v>4.5</v>
      </c>
      <c r="D121" s="85" t="s">
        <v>39</v>
      </c>
      <c r="E121" s="88">
        <v>800</v>
      </c>
      <c r="F121" s="88">
        <f t="shared" si="21"/>
        <v>3600</v>
      </c>
      <c r="G121" s="88">
        <v>200</v>
      </c>
      <c r="H121" s="88">
        <f t="shared" si="22"/>
        <v>900</v>
      </c>
      <c r="I121" s="88">
        <f t="shared" si="23"/>
        <v>4500</v>
      </c>
      <c r="J121" s="101"/>
    </row>
    <row r="122" spans="1:10" ht="24.6">
      <c r="A122" s="126" t="s">
        <v>157</v>
      </c>
      <c r="B122" s="115" t="s">
        <v>158</v>
      </c>
      <c r="C122" s="57">
        <v>55</v>
      </c>
      <c r="D122" s="85" t="s">
        <v>39</v>
      </c>
      <c r="E122" s="88">
        <v>315</v>
      </c>
      <c r="F122" s="88">
        <f t="shared" si="21"/>
        <v>17325</v>
      </c>
      <c r="G122" s="88">
        <v>158</v>
      </c>
      <c r="H122" s="88">
        <f t="shared" si="22"/>
        <v>8690</v>
      </c>
      <c r="I122" s="88">
        <f t="shared" si="23"/>
        <v>26015</v>
      </c>
      <c r="J122" s="101"/>
    </row>
    <row r="123" spans="1:10" ht="24.6">
      <c r="A123" s="126" t="s">
        <v>159</v>
      </c>
      <c r="B123" s="115" t="s">
        <v>160</v>
      </c>
      <c r="C123" s="57">
        <v>73</v>
      </c>
      <c r="D123" s="85" t="s">
        <v>39</v>
      </c>
      <c r="E123" s="88">
        <v>285</v>
      </c>
      <c r="F123" s="88">
        <f t="shared" si="21"/>
        <v>20805</v>
      </c>
      <c r="G123" s="88">
        <v>89</v>
      </c>
      <c r="H123" s="88">
        <f t="shared" si="22"/>
        <v>6497</v>
      </c>
      <c r="I123" s="88">
        <f t="shared" si="23"/>
        <v>27302</v>
      </c>
      <c r="J123" s="92"/>
    </row>
    <row r="124" spans="1:10" s="76" customFormat="1" ht="24.6">
      <c r="A124" s="126" t="s">
        <v>161</v>
      </c>
      <c r="B124" s="115" t="s">
        <v>162</v>
      </c>
      <c r="C124" s="57">
        <v>4</v>
      </c>
      <c r="D124" s="85" t="s">
        <v>42</v>
      </c>
      <c r="E124" s="88">
        <v>1640</v>
      </c>
      <c r="F124" s="88">
        <f t="shared" si="21"/>
        <v>6560</v>
      </c>
      <c r="G124" s="88">
        <v>180</v>
      </c>
      <c r="H124" s="88">
        <f t="shared" si="22"/>
        <v>720</v>
      </c>
      <c r="I124" s="88">
        <f t="shared" si="23"/>
        <v>7280</v>
      </c>
      <c r="J124" s="92"/>
    </row>
    <row r="125" spans="1:10" s="76" customFormat="1" ht="24.6">
      <c r="A125" s="126" t="s">
        <v>163</v>
      </c>
      <c r="B125" s="115" t="s">
        <v>164</v>
      </c>
      <c r="C125" s="57">
        <v>2</v>
      </c>
      <c r="D125" s="85" t="s">
        <v>165</v>
      </c>
      <c r="E125" s="88">
        <v>3900</v>
      </c>
      <c r="F125" s="88">
        <f>SUM(C125*E125)</f>
        <v>7800</v>
      </c>
      <c r="G125" s="88">
        <v>850</v>
      </c>
      <c r="H125" s="88">
        <f t="shared" si="22"/>
        <v>1700</v>
      </c>
      <c r="I125" s="88">
        <f t="shared" si="23"/>
        <v>9500</v>
      </c>
      <c r="J125" s="57"/>
    </row>
    <row r="126" spans="1:10" ht="24.6">
      <c r="A126" s="126" t="s">
        <v>166</v>
      </c>
      <c r="B126" s="152" t="s">
        <v>167</v>
      </c>
      <c r="C126" s="57">
        <v>4</v>
      </c>
      <c r="D126" s="85" t="s">
        <v>165</v>
      </c>
      <c r="E126" s="88">
        <v>1255</v>
      </c>
      <c r="F126" s="88">
        <f t="shared" si="21"/>
        <v>5020</v>
      </c>
      <c r="G126" s="88">
        <v>450</v>
      </c>
      <c r="H126" s="88">
        <f t="shared" si="22"/>
        <v>1800</v>
      </c>
      <c r="I126" s="88">
        <f t="shared" si="23"/>
        <v>6820</v>
      </c>
      <c r="J126" s="57"/>
    </row>
    <row r="127" spans="1:10" ht="24.6">
      <c r="A127" s="80" t="s">
        <v>168</v>
      </c>
      <c r="B127" s="152" t="s">
        <v>169</v>
      </c>
      <c r="C127" s="57">
        <v>6</v>
      </c>
      <c r="D127" s="173" t="s">
        <v>165</v>
      </c>
      <c r="E127" s="88">
        <v>920</v>
      </c>
      <c r="F127" s="88">
        <f t="shared" si="21"/>
        <v>5520</v>
      </c>
      <c r="G127" s="88">
        <v>330</v>
      </c>
      <c r="H127" s="88">
        <f t="shared" si="22"/>
        <v>1980</v>
      </c>
      <c r="I127" s="88">
        <f t="shared" si="23"/>
        <v>7500</v>
      </c>
      <c r="J127" s="57"/>
    </row>
    <row r="128" spans="1:10" ht="24.6">
      <c r="A128" s="174" t="s">
        <v>170</v>
      </c>
      <c r="B128" s="158" t="s">
        <v>171</v>
      </c>
      <c r="C128" s="82">
        <v>43</v>
      </c>
      <c r="D128" s="159" t="s">
        <v>39</v>
      </c>
      <c r="E128" s="201">
        <v>350</v>
      </c>
      <c r="F128" s="201">
        <f t="shared" si="21"/>
        <v>15050</v>
      </c>
      <c r="G128" s="201">
        <v>70</v>
      </c>
      <c r="H128" s="201">
        <f t="shared" si="22"/>
        <v>3010</v>
      </c>
      <c r="I128" s="201">
        <f t="shared" si="23"/>
        <v>18060</v>
      </c>
      <c r="J128" s="57"/>
    </row>
    <row r="129" spans="1:10" ht="24.6">
      <c r="A129" s="126" t="s">
        <v>172</v>
      </c>
      <c r="B129" s="152" t="s">
        <v>173</v>
      </c>
      <c r="C129" s="57">
        <v>12</v>
      </c>
      <c r="D129" s="85" t="s">
        <v>174</v>
      </c>
      <c r="E129" s="88">
        <v>250</v>
      </c>
      <c r="F129" s="88">
        <f t="shared" si="21"/>
        <v>3000</v>
      </c>
      <c r="G129" s="88">
        <v>70</v>
      </c>
      <c r="H129" s="88">
        <f t="shared" si="22"/>
        <v>840</v>
      </c>
      <c r="I129" s="88">
        <f t="shared" si="23"/>
        <v>3840</v>
      </c>
      <c r="J129" s="57"/>
    </row>
    <row r="130" spans="1:10" ht="24.6">
      <c r="A130" s="126" t="s">
        <v>175</v>
      </c>
      <c r="B130" s="169" t="s">
        <v>176</v>
      </c>
      <c r="C130" s="57">
        <v>30</v>
      </c>
      <c r="D130" s="85" t="s">
        <v>174</v>
      </c>
      <c r="E130" s="88">
        <v>150</v>
      </c>
      <c r="F130" s="88">
        <f t="shared" ref="F130:F132" si="24">SUM(C130*E130)</f>
        <v>4500</v>
      </c>
      <c r="G130" s="88">
        <v>100</v>
      </c>
      <c r="H130" s="88">
        <f t="shared" ref="H130:H132" si="25">SUM(C130*G130)</f>
        <v>3000</v>
      </c>
      <c r="I130" s="88">
        <f t="shared" ref="I130:I132" si="26">SUM(F130+H130)</f>
        <v>7500</v>
      </c>
      <c r="J130" s="57"/>
    </row>
    <row r="131" spans="1:10" ht="24.6">
      <c r="A131" s="126" t="s">
        <v>177</v>
      </c>
      <c r="B131" s="153" t="s">
        <v>178</v>
      </c>
      <c r="C131" s="57">
        <v>75.680000000000007</v>
      </c>
      <c r="D131" s="85" t="s">
        <v>39</v>
      </c>
      <c r="E131" s="88">
        <v>44</v>
      </c>
      <c r="F131" s="88">
        <f t="shared" si="24"/>
        <v>3329.92</v>
      </c>
      <c r="G131" s="88">
        <v>34</v>
      </c>
      <c r="H131" s="88">
        <f t="shared" si="25"/>
        <v>2573.1200000000003</v>
      </c>
      <c r="I131" s="88">
        <f t="shared" si="26"/>
        <v>5903.0400000000009</v>
      </c>
      <c r="J131" s="57"/>
    </row>
    <row r="132" spans="1:10" ht="24.6">
      <c r="A132" s="126" t="s">
        <v>179</v>
      </c>
      <c r="B132" s="90" t="s">
        <v>180</v>
      </c>
      <c r="C132" s="57">
        <v>25.68</v>
      </c>
      <c r="D132" s="85" t="s">
        <v>39</v>
      </c>
      <c r="E132" s="88">
        <v>58</v>
      </c>
      <c r="F132" s="88">
        <f t="shared" si="24"/>
        <v>1489.44</v>
      </c>
      <c r="G132" s="88">
        <v>35</v>
      </c>
      <c r="H132" s="88">
        <f t="shared" si="25"/>
        <v>898.8</v>
      </c>
      <c r="I132" s="88">
        <f t="shared" si="26"/>
        <v>2388.2399999999998</v>
      </c>
      <c r="J132" s="57"/>
    </row>
    <row r="133" spans="1:10" ht="24.6">
      <c r="A133" s="104"/>
      <c r="B133" s="104" t="s">
        <v>181</v>
      </c>
      <c r="C133" s="105"/>
      <c r="D133" s="166"/>
      <c r="E133" s="203"/>
      <c r="F133" s="203">
        <f>SUM(F117:F132)</f>
        <v>119348.36</v>
      </c>
      <c r="G133" s="203"/>
      <c r="H133" s="203">
        <f>SUM(H117:H132)</f>
        <v>48651.280000000006</v>
      </c>
      <c r="I133" s="203">
        <f>SUM(I117:I132)</f>
        <v>167999.63999999998</v>
      </c>
      <c r="J133" s="142"/>
    </row>
    <row r="134" spans="1:10" ht="24.6">
      <c r="A134" s="221" t="s">
        <v>182</v>
      </c>
      <c r="B134" s="221"/>
      <c r="C134" s="221"/>
      <c r="D134" s="221"/>
      <c r="E134" s="221"/>
      <c r="F134" s="221"/>
      <c r="G134" s="221"/>
      <c r="H134" s="221"/>
      <c r="I134" s="221"/>
      <c r="J134" s="221"/>
    </row>
    <row r="135" spans="1:10" ht="24.6">
      <c r="A135" s="222" t="s">
        <v>1</v>
      </c>
      <c r="B135" s="222"/>
      <c r="C135" s="222"/>
      <c r="D135" s="222"/>
      <c r="E135" s="222"/>
      <c r="F135" s="222"/>
      <c r="G135" s="222"/>
      <c r="H135" s="222"/>
      <c r="I135" s="222"/>
      <c r="J135" s="222"/>
    </row>
    <row r="136" spans="1:10" ht="24.6">
      <c r="A136" s="48" t="s">
        <v>2</v>
      </c>
      <c r="B136" s="48"/>
      <c r="C136" s="48"/>
      <c r="D136" s="48"/>
      <c r="E136" s="48"/>
      <c r="F136" s="48"/>
      <c r="G136" s="48"/>
      <c r="H136" s="48"/>
      <c r="I136" s="48"/>
      <c r="J136" s="48"/>
    </row>
    <row r="137" spans="1:10" ht="24.6">
      <c r="A137" s="27" t="s">
        <v>3</v>
      </c>
      <c r="B137" s="27"/>
      <c r="C137" s="27"/>
      <c r="D137" s="27"/>
      <c r="E137" s="27"/>
      <c r="F137" s="27"/>
      <c r="G137" s="27"/>
      <c r="H137" s="27"/>
      <c r="I137" s="27"/>
      <c r="J137" s="27"/>
    </row>
    <row r="138" spans="1:10" ht="24.6">
      <c r="A138" s="27" t="s">
        <v>4</v>
      </c>
      <c r="B138" s="27"/>
      <c r="C138" s="27"/>
      <c r="D138" s="27"/>
      <c r="E138" s="68"/>
      <c r="F138" s="69" t="s">
        <v>5</v>
      </c>
      <c r="G138" s="27"/>
      <c r="H138" s="27"/>
      <c r="I138" s="27"/>
      <c r="J138" s="27"/>
    </row>
    <row r="139" spans="1:10" ht="24.6">
      <c r="A139" s="27" t="s">
        <v>6</v>
      </c>
      <c r="B139" s="27"/>
      <c r="C139" s="27"/>
      <c r="D139" s="27"/>
      <c r="E139" s="27"/>
      <c r="F139" s="27"/>
      <c r="G139" s="27"/>
      <c r="H139" s="27"/>
      <c r="I139" s="27"/>
      <c r="J139" s="27"/>
    </row>
    <row r="140" spans="1:10" ht="24.6">
      <c r="A140" s="27" t="s">
        <v>351</v>
      </c>
      <c r="B140" s="27"/>
      <c r="C140" s="27"/>
      <c r="D140" s="27"/>
      <c r="E140" s="29" t="s">
        <v>7</v>
      </c>
      <c r="F140" s="29" t="s">
        <v>8</v>
      </c>
      <c r="G140" s="29" t="s">
        <v>9</v>
      </c>
      <c r="H140" s="29" t="s">
        <v>10</v>
      </c>
      <c r="I140" s="29" t="s">
        <v>11</v>
      </c>
      <c r="J140" s="27"/>
    </row>
    <row r="141" spans="1:10" ht="24.6">
      <c r="A141" s="223" t="s">
        <v>12</v>
      </c>
      <c r="B141" s="223"/>
      <c r="C141" s="223"/>
      <c r="D141" s="223"/>
      <c r="E141" s="223"/>
      <c r="F141" s="223"/>
      <c r="G141" s="223"/>
      <c r="H141" s="223"/>
      <c r="I141" s="223"/>
      <c r="J141" s="223"/>
    </row>
    <row r="142" spans="1:10" ht="24.6">
      <c r="A142" s="226" t="s">
        <v>13</v>
      </c>
      <c r="B142" s="226" t="s">
        <v>14</v>
      </c>
      <c r="C142" s="226" t="s">
        <v>15</v>
      </c>
      <c r="D142" s="226" t="s">
        <v>16</v>
      </c>
      <c r="E142" s="228" t="s">
        <v>17</v>
      </c>
      <c r="F142" s="228"/>
      <c r="G142" s="228" t="s">
        <v>18</v>
      </c>
      <c r="H142" s="228"/>
      <c r="I142" s="40" t="s">
        <v>19</v>
      </c>
      <c r="J142" s="70" t="s">
        <v>20</v>
      </c>
    </row>
    <row r="143" spans="1:10" s="181" customFormat="1" ht="22.8">
      <c r="A143" s="227"/>
      <c r="B143" s="227"/>
      <c r="C143" s="227"/>
      <c r="D143" s="227"/>
      <c r="E143" s="179" t="s">
        <v>21</v>
      </c>
      <c r="F143" s="179" t="s">
        <v>22</v>
      </c>
      <c r="G143" s="179" t="s">
        <v>21</v>
      </c>
      <c r="H143" s="179" t="s">
        <v>22</v>
      </c>
      <c r="I143" s="180" t="s">
        <v>23</v>
      </c>
      <c r="J143" s="179"/>
    </row>
    <row r="144" spans="1:10" ht="24.6">
      <c r="A144" s="97" t="s">
        <v>183</v>
      </c>
      <c r="B144" s="175" t="s">
        <v>184</v>
      </c>
      <c r="C144" s="99"/>
      <c r="D144" s="125"/>
      <c r="E144" s="99"/>
      <c r="F144" s="99"/>
      <c r="G144" s="99"/>
      <c r="H144" s="99"/>
      <c r="I144" s="99"/>
      <c r="J144" s="54"/>
    </row>
    <row r="145" spans="1:10" ht="24.6">
      <c r="A145" s="77" t="s">
        <v>185</v>
      </c>
      <c r="B145" s="90" t="s">
        <v>186</v>
      </c>
      <c r="C145" s="190">
        <v>4</v>
      </c>
      <c r="D145" s="85" t="s">
        <v>42</v>
      </c>
      <c r="E145" s="88">
        <v>4850</v>
      </c>
      <c r="F145" s="88">
        <f>SUM(C145*E145)</f>
        <v>19400</v>
      </c>
      <c r="G145" s="88">
        <v>450</v>
      </c>
      <c r="H145" s="88">
        <f>SUM(C145*G145)</f>
        <v>1800</v>
      </c>
      <c r="I145" s="88">
        <f>SUM(F145+H145)</f>
        <v>21200</v>
      </c>
      <c r="J145" s="57"/>
    </row>
    <row r="146" spans="1:10" ht="24.6">
      <c r="A146" s="126" t="s">
        <v>187</v>
      </c>
      <c r="B146" s="152" t="s">
        <v>188</v>
      </c>
      <c r="C146" s="190">
        <v>3</v>
      </c>
      <c r="D146" s="85" t="s">
        <v>42</v>
      </c>
      <c r="E146" s="88">
        <v>2100</v>
      </c>
      <c r="F146" s="88">
        <f t="shared" ref="F146:F154" si="27">SUM(C146*E146)</f>
        <v>6300</v>
      </c>
      <c r="G146" s="88">
        <v>450</v>
      </c>
      <c r="H146" s="88">
        <f t="shared" ref="H146:H154" si="28">SUM(C146*G146)</f>
        <v>1350</v>
      </c>
      <c r="I146" s="88">
        <f t="shared" ref="I146:I154" si="29">SUM(F146+H146)</f>
        <v>7650</v>
      </c>
      <c r="J146" s="57"/>
    </row>
    <row r="147" spans="1:10" ht="24.6">
      <c r="A147" s="126" t="s">
        <v>189</v>
      </c>
      <c r="B147" s="169" t="s">
        <v>190</v>
      </c>
      <c r="C147" s="190">
        <v>4</v>
      </c>
      <c r="D147" s="85" t="s">
        <v>42</v>
      </c>
      <c r="E147" s="88">
        <v>2300</v>
      </c>
      <c r="F147" s="88">
        <f t="shared" si="27"/>
        <v>9200</v>
      </c>
      <c r="G147" s="88">
        <v>450</v>
      </c>
      <c r="H147" s="88">
        <f t="shared" si="28"/>
        <v>1800</v>
      </c>
      <c r="I147" s="88">
        <f t="shared" si="29"/>
        <v>11000</v>
      </c>
      <c r="J147" s="57"/>
    </row>
    <row r="148" spans="1:10" ht="24.6">
      <c r="A148" s="126" t="s">
        <v>191</v>
      </c>
      <c r="B148" s="115" t="s">
        <v>192</v>
      </c>
      <c r="C148" s="190">
        <v>4</v>
      </c>
      <c r="D148" s="85" t="s">
        <v>42</v>
      </c>
      <c r="E148" s="88">
        <v>300</v>
      </c>
      <c r="F148" s="88">
        <f t="shared" si="27"/>
        <v>1200</v>
      </c>
      <c r="G148" s="88">
        <v>70</v>
      </c>
      <c r="H148" s="88">
        <f t="shared" si="28"/>
        <v>280</v>
      </c>
      <c r="I148" s="88">
        <f t="shared" si="29"/>
        <v>1480</v>
      </c>
      <c r="J148" s="57"/>
    </row>
    <row r="149" spans="1:10" ht="24.6">
      <c r="A149" s="126" t="s">
        <v>193</v>
      </c>
      <c r="B149" s="115" t="s">
        <v>194</v>
      </c>
      <c r="C149" s="190">
        <v>4</v>
      </c>
      <c r="D149" s="85" t="s">
        <v>42</v>
      </c>
      <c r="E149" s="88">
        <v>900</v>
      </c>
      <c r="F149" s="88">
        <f t="shared" si="27"/>
        <v>3600</v>
      </c>
      <c r="G149" s="88">
        <v>150</v>
      </c>
      <c r="H149" s="88">
        <f t="shared" si="28"/>
        <v>600</v>
      </c>
      <c r="I149" s="88">
        <f t="shared" si="29"/>
        <v>4200</v>
      </c>
      <c r="J149" s="99"/>
    </row>
    <row r="150" spans="1:10" ht="24.6">
      <c r="A150" s="126" t="s">
        <v>195</v>
      </c>
      <c r="B150" s="115" t="s">
        <v>196</v>
      </c>
      <c r="C150" s="190">
        <v>8</v>
      </c>
      <c r="D150" s="85" t="s">
        <v>42</v>
      </c>
      <c r="E150" s="88">
        <v>80</v>
      </c>
      <c r="F150" s="88">
        <f t="shared" si="27"/>
        <v>640</v>
      </c>
      <c r="G150" s="88">
        <v>35</v>
      </c>
      <c r="H150" s="88">
        <f t="shared" si="28"/>
        <v>280</v>
      </c>
      <c r="I150" s="88">
        <f t="shared" si="29"/>
        <v>920</v>
      </c>
      <c r="J150" s="92"/>
    </row>
    <row r="151" spans="1:10" ht="24.6">
      <c r="A151" s="126" t="s">
        <v>197</v>
      </c>
      <c r="B151" s="115" t="s">
        <v>198</v>
      </c>
      <c r="C151" s="190">
        <v>4</v>
      </c>
      <c r="D151" s="85" t="s">
        <v>42</v>
      </c>
      <c r="E151" s="88">
        <v>280</v>
      </c>
      <c r="F151" s="88">
        <f t="shared" si="27"/>
        <v>1120</v>
      </c>
      <c r="G151" s="88">
        <v>70</v>
      </c>
      <c r="H151" s="88">
        <f t="shared" si="28"/>
        <v>280</v>
      </c>
      <c r="I151" s="88">
        <f t="shared" si="29"/>
        <v>1400</v>
      </c>
      <c r="J151" s="101"/>
    </row>
    <row r="152" spans="1:10" s="76" customFormat="1" ht="24.6">
      <c r="A152" s="126" t="s">
        <v>199</v>
      </c>
      <c r="B152" s="152" t="s">
        <v>200</v>
      </c>
      <c r="C152" s="190">
        <v>2</v>
      </c>
      <c r="D152" s="85" t="s">
        <v>42</v>
      </c>
      <c r="E152" s="88">
        <v>125</v>
      </c>
      <c r="F152" s="88">
        <f t="shared" si="27"/>
        <v>250</v>
      </c>
      <c r="G152" s="88">
        <v>25</v>
      </c>
      <c r="H152" s="88">
        <f t="shared" si="28"/>
        <v>50</v>
      </c>
      <c r="I152" s="88">
        <f t="shared" si="29"/>
        <v>300</v>
      </c>
      <c r="J152" s="92"/>
    </row>
    <row r="153" spans="1:10" ht="24.6">
      <c r="A153" s="77" t="s">
        <v>201</v>
      </c>
      <c r="B153" s="138" t="s">
        <v>202</v>
      </c>
      <c r="C153" s="211">
        <v>1</v>
      </c>
      <c r="D153" s="102" t="s">
        <v>42</v>
      </c>
      <c r="E153" s="210">
        <v>13590</v>
      </c>
      <c r="F153" s="210">
        <f t="shared" si="27"/>
        <v>13590</v>
      </c>
      <c r="G153" s="210">
        <v>2310</v>
      </c>
      <c r="H153" s="210">
        <f t="shared" si="28"/>
        <v>2310</v>
      </c>
      <c r="I153" s="210">
        <f t="shared" si="29"/>
        <v>15900</v>
      </c>
      <c r="J153" s="57"/>
    </row>
    <row r="154" spans="1:10" s="76" customFormat="1" ht="24.6">
      <c r="A154" s="126" t="s">
        <v>203</v>
      </c>
      <c r="B154" s="169" t="s">
        <v>204</v>
      </c>
      <c r="C154" s="190">
        <v>2</v>
      </c>
      <c r="D154" s="85" t="s">
        <v>42</v>
      </c>
      <c r="E154" s="88">
        <v>50</v>
      </c>
      <c r="F154" s="88">
        <f t="shared" si="27"/>
        <v>100</v>
      </c>
      <c r="G154" s="88">
        <v>25</v>
      </c>
      <c r="H154" s="88">
        <f t="shared" si="28"/>
        <v>50</v>
      </c>
      <c r="I154" s="88">
        <f t="shared" si="29"/>
        <v>150</v>
      </c>
      <c r="J154" s="57"/>
    </row>
    <row r="155" spans="1:10" ht="24.6">
      <c r="A155" s="151" t="s">
        <v>205</v>
      </c>
      <c r="B155" s="169" t="s">
        <v>206</v>
      </c>
      <c r="C155" s="190">
        <v>6</v>
      </c>
      <c r="D155" s="85" t="s">
        <v>42</v>
      </c>
      <c r="E155" s="88">
        <v>150</v>
      </c>
      <c r="F155" s="88">
        <f t="shared" ref="F155:F157" si="30">SUM(C155*E155)</f>
        <v>900</v>
      </c>
      <c r="G155" s="88">
        <v>75</v>
      </c>
      <c r="H155" s="88">
        <f t="shared" ref="H155:H157" si="31">SUM(C155*G155)</f>
        <v>450</v>
      </c>
      <c r="I155" s="88">
        <f t="shared" ref="I155:I157" si="32">SUM(F155+H155)</f>
        <v>1350</v>
      </c>
      <c r="J155" s="57"/>
    </row>
    <row r="156" spans="1:10" ht="24.6">
      <c r="A156" s="151" t="s">
        <v>207</v>
      </c>
      <c r="B156" s="153" t="s">
        <v>208</v>
      </c>
      <c r="C156" s="190">
        <v>1</v>
      </c>
      <c r="D156" s="85" t="s">
        <v>29</v>
      </c>
      <c r="E156" s="88">
        <v>10000</v>
      </c>
      <c r="F156" s="88">
        <f t="shared" si="30"/>
        <v>10000</v>
      </c>
      <c r="G156" s="88"/>
      <c r="H156" s="88"/>
      <c r="I156" s="88">
        <f t="shared" si="32"/>
        <v>10000</v>
      </c>
      <c r="J156" s="57"/>
    </row>
    <row r="157" spans="1:10" ht="24.6">
      <c r="A157" s="126" t="s">
        <v>209</v>
      </c>
      <c r="B157" s="90" t="s">
        <v>210</v>
      </c>
      <c r="C157" s="190">
        <v>1</v>
      </c>
      <c r="D157" s="172" t="s">
        <v>29</v>
      </c>
      <c r="E157" s="88">
        <v>20000</v>
      </c>
      <c r="F157" s="88">
        <f t="shared" si="30"/>
        <v>20000</v>
      </c>
      <c r="G157" s="88"/>
      <c r="H157" s="88"/>
      <c r="I157" s="88">
        <f t="shared" si="32"/>
        <v>20000</v>
      </c>
      <c r="J157" s="57"/>
    </row>
    <row r="158" spans="1:10" ht="24.6">
      <c r="A158" s="163"/>
      <c r="B158" s="98" t="s">
        <v>211</v>
      </c>
      <c r="C158" s="191"/>
      <c r="D158" s="125"/>
      <c r="E158" s="195"/>
      <c r="F158" s="195">
        <f>SUM(F145:F157)</f>
        <v>86300</v>
      </c>
      <c r="G158" s="195"/>
      <c r="H158" s="195">
        <f>SUM(H145:H157)</f>
        <v>9250</v>
      </c>
      <c r="I158" s="195">
        <f>SUM(I144:I157)</f>
        <v>95550</v>
      </c>
      <c r="J158" s="57"/>
    </row>
    <row r="159" spans="1:10" ht="24.6">
      <c r="A159" s="80"/>
      <c r="B159" s="152"/>
      <c r="C159" s="190"/>
      <c r="D159" s="85"/>
      <c r="E159" s="88"/>
      <c r="F159" s="88"/>
      <c r="G159" s="88"/>
      <c r="H159" s="88"/>
      <c r="I159" s="88"/>
      <c r="J159" s="57"/>
    </row>
    <row r="160" spans="1:10" ht="24.6">
      <c r="A160" s="176"/>
      <c r="B160" s="140"/>
      <c r="C160" s="142"/>
      <c r="D160" s="141"/>
      <c r="E160" s="198"/>
      <c r="F160" s="198"/>
      <c r="G160" s="198"/>
      <c r="H160" s="198"/>
      <c r="I160" s="198"/>
      <c r="J160" s="142"/>
    </row>
    <row r="161" spans="1:10" ht="24.6">
      <c r="A161" s="221" t="s">
        <v>212</v>
      </c>
      <c r="B161" s="221"/>
      <c r="C161" s="221"/>
      <c r="D161" s="221"/>
      <c r="E161" s="221"/>
      <c r="F161" s="221"/>
      <c r="G161" s="221"/>
      <c r="H161" s="221"/>
      <c r="I161" s="221"/>
      <c r="J161" s="221"/>
    </row>
    <row r="162" spans="1:10" ht="24.6">
      <c r="A162" s="222" t="s">
        <v>1</v>
      </c>
      <c r="B162" s="222"/>
      <c r="C162" s="222"/>
      <c r="D162" s="222"/>
      <c r="E162" s="222"/>
      <c r="F162" s="222"/>
      <c r="G162" s="222"/>
      <c r="H162" s="222"/>
      <c r="I162" s="222"/>
      <c r="J162" s="222"/>
    </row>
    <row r="163" spans="1:10" ht="24.6">
      <c r="A163" s="48" t="s">
        <v>2</v>
      </c>
      <c r="B163" s="48"/>
      <c r="C163" s="48"/>
      <c r="D163" s="48"/>
      <c r="E163" s="48"/>
      <c r="F163" s="48"/>
      <c r="G163" s="48"/>
      <c r="H163" s="48"/>
      <c r="I163" s="48"/>
      <c r="J163" s="48"/>
    </row>
    <row r="164" spans="1:10" ht="24.6">
      <c r="A164" s="27" t="s">
        <v>3</v>
      </c>
      <c r="B164" s="27"/>
      <c r="C164" s="27"/>
      <c r="D164" s="27"/>
      <c r="E164" s="27"/>
      <c r="F164" s="27"/>
      <c r="G164" s="27"/>
      <c r="H164" s="27"/>
      <c r="I164" s="27"/>
      <c r="J164" s="27"/>
    </row>
    <row r="165" spans="1:10" ht="24.6">
      <c r="A165" s="27" t="s">
        <v>4</v>
      </c>
      <c r="B165" s="27"/>
      <c r="C165" s="27"/>
      <c r="D165" s="27"/>
      <c r="E165" s="68"/>
      <c r="F165" s="69" t="s">
        <v>5</v>
      </c>
      <c r="G165" s="27"/>
      <c r="H165" s="27"/>
      <c r="I165" s="27"/>
      <c r="J165" s="27"/>
    </row>
    <row r="166" spans="1:10" ht="24.6">
      <c r="A166" s="27" t="s">
        <v>6</v>
      </c>
      <c r="B166" s="27"/>
      <c r="C166" s="27"/>
      <c r="D166" s="27"/>
      <c r="E166" s="27"/>
      <c r="F166" s="27"/>
      <c r="G166" s="27"/>
      <c r="H166" s="27"/>
      <c r="I166" s="27"/>
      <c r="J166" s="27"/>
    </row>
    <row r="167" spans="1:10" ht="24.6">
      <c r="A167" s="27" t="s">
        <v>351</v>
      </c>
      <c r="B167" s="27"/>
      <c r="C167" s="27"/>
      <c r="D167" s="27"/>
      <c r="E167" s="29" t="s">
        <v>7</v>
      </c>
      <c r="F167" s="29" t="s">
        <v>8</v>
      </c>
      <c r="G167" s="29" t="s">
        <v>9</v>
      </c>
      <c r="H167" s="29" t="s">
        <v>10</v>
      </c>
      <c r="I167" s="29" t="s">
        <v>11</v>
      </c>
      <c r="J167" s="27"/>
    </row>
    <row r="168" spans="1:10" ht="24.6">
      <c r="A168" s="223" t="s">
        <v>12</v>
      </c>
      <c r="B168" s="223"/>
      <c r="C168" s="223"/>
      <c r="D168" s="223"/>
      <c r="E168" s="223"/>
      <c r="F168" s="223"/>
      <c r="G168" s="223"/>
      <c r="H168" s="223"/>
      <c r="I168" s="223"/>
      <c r="J168" s="223"/>
    </row>
    <row r="169" spans="1:10" ht="24.6">
      <c r="A169" s="226" t="s">
        <v>13</v>
      </c>
      <c r="B169" s="226" t="s">
        <v>14</v>
      </c>
      <c r="C169" s="226" t="s">
        <v>15</v>
      </c>
      <c r="D169" s="226" t="s">
        <v>16</v>
      </c>
      <c r="E169" s="228" t="s">
        <v>17</v>
      </c>
      <c r="F169" s="228"/>
      <c r="G169" s="228" t="s">
        <v>18</v>
      </c>
      <c r="H169" s="228"/>
      <c r="I169" s="40" t="s">
        <v>19</v>
      </c>
      <c r="J169" s="70" t="s">
        <v>20</v>
      </c>
    </row>
    <row r="170" spans="1:10" s="181" customFormat="1" ht="22.8">
      <c r="A170" s="227"/>
      <c r="B170" s="227"/>
      <c r="C170" s="227"/>
      <c r="D170" s="227"/>
      <c r="E170" s="179" t="s">
        <v>21</v>
      </c>
      <c r="F170" s="179" t="s">
        <v>22</v>
      </c>
      <c r="G170" s="179" t="s">
        <v>21</v>
      </c>
      <c r="H170" s="179" t="s">
        <v>22</v>
      </c>
      <c r="I170" s="180" t="s">
        <v>23</v>
      </c>
      <c r="J170" s="179"/>
    </row>
    <row r="171" spans="1:10" ht="24.6">
      <c r="A171" s="97" t="s">
        <v>213</v>
      </c>
      <c r="B171" s="175" t="s">
        <v>65</v>
      </c>
      <c r="C171" s="99"/>
      <c r="D171" s="125"/>
      <c r="E171" s="99"/>
      <c r="F171" s="99"/>
      <c r="G171" s="99"/>
      <c r="H171" s="99"/>
      <c r="I171" s="99"/>
      <c r="J171" s="54"/>
    </row>
    <row r="172" spans="1:10" ht="24.6">
      <c r="A172" s="77" t="s">
        <v>214</v>
      </c>
      <c r="B172" s="153" t="s">
        <v>215</v>
      </c>
      <c r="C172" s="190">
        <v>8</v>
      </c>
      <c r="D172" s="85" t="s">
        <v>42</v>
      </c>
      <c r="E172" s="88">
        <v>590</v>
      </c>
      <c r="F172" s="88">
        <f>SUM(C172*E172)</f>
        <v>4720</v>
      </c>
      <c r="G172" s="88">
        <v>115</v>
      </c>
      <c r="H172" s="88">
        <f>SUM(C172*G172)</f>
        <v>920</v>
      </c>
      <c r="I172" s="88">
        <f>SUM(F172+H172)</f>
        <v>5640</v>
      </c>
      <c r="J172" s="57"/>
    </row>
    <row r="173" spans="1:10" ht="24.6">
      <c r="A173" s="77" t="s">
        <v>216</v>
      </c>
      <c r="B173" s="90" t="s">
        <v>217</v>
      </c>
      <c r="C173" s="190">
        <v>6</v>
      </c>
      <c r="D173" s="85" t="s">
        <v>42</v>
      </c>
      <c r="E173" s="88">
        <v>82</v>
      </c>
      <c r="F173" s="88">
        <f t="shared" ref="F173:F176" si="33">SUM(C173*E173)</f>
        <v>492</v>
      </c>
      <c r="G173" s="88">
        <v>80</v>
      </c>
      <c r="H173" s="88">
        <f t="shared" ref="H173:H176" si="34">SUM(C173*G173)</f>
        <v>480</v>
      </c>
      <c r="I173" s="88">
        <f t="shared" ref="I173:I176" si="35">SUM(F173+H173)</f>
        <v>972</v>
      </c>
      <c r="J173" s="57"/>
    </row>
    <row r="174" spans="1:10" ht="24.6">
      <c r="A174" s="126" t="s">
        <v>218</v>
      </c>
      <c r="B174" s="169" t="s">
        <v>219</v>
      </c>
      <c r="C174" s="190">
        <v>8</v>
      </c>
      <c r="D174" s="85" t="s">
        <v>220</v>
      </c>
      <c r="E174" s="88">
        <v>182</v>
      </c>
      <c r="F174" s="88">
        <f t="shared" si="33"/>
        <v>1456</v>
      </c>
      <c r="G174" s="88">
        <v>176</v>
      </c>
      <c r="H174" s="88">
        <f t="shared" si="34"/>
        <v>1408</v>
      </c>
      <c r="I174" s="88">
        <f t="shared" si="35"/>
        <v>2864</v>
      </c>
      <c r="J174" s="57"/>
    </row>
    <row r="175" spans="1:10" ht="24.6">
      <c r="A175" s="151" t="s">
        <v>221</v>
      </c>
      <c r="B175" s="169" t="s">
        <v>222</v>
      </c>
      <c r="C175" s="190">
        <v>6</v>
      </c>
      <c r="D175" s="85" t="s">
        <v>220</v>
      </c>
      <c r="E175" s="88">
        <v>245</v>
      </c>
      <c r="F175" s="88">
        <f t="shared" si="33"/>
        <v>1470</v>
      </c>
      <c r="G175" s="88">
        <v>176</v>
      </c>
      <c r="H175" s="88">
        <f t="shared" si="34"/>
        <v>1056</v>
      </c>
      <c r="I175" s="88">
        <f t="shared" si="35"/>
        <v>2526</v>
      </c>
      <c r="J175" s="57"/>
    </row>
    <row r="176" spans="1:10" ht="24.6">
      <c r="A176" s="126" t="s">
        <v>223</v>
      </c>
      <c r="B176" s="170" t="s">
        <v>224</v>
      </c>
      <c r="C176" s="190">
        <v>1</v>
      </c>
      <c r="D176" s="85" t="s">
        <v>29</v>
      </c>
      <c r="E176" s="88">
        <v>3000</v>
      </c>
      <c r="F176" s="88">
        <f t="shared" si="33"/>
        <v>3000</v>
      </c>
      <c r="G176" s="88"/>
      <c r="H176" s="88"/>
      <c r="I176" s="88">
        <f t="shared" si="35"/>
        <v>3000</v>
      </c>
      <c r="J176" s="99"/>
    </row>
    <row r="177" spans="1:10" ht="24.6">
      <c r="A177" s="163"/>
      <c r="B177" s="163" t="s">
        <v>225</v>
      </c>
      <c r="C177" s="99"/>
      <c r="D177" s="125"/>
      <c r="E177" s="195"/>
      <c r="F177" s="195">
        <f>SUM(F172:F176)</f>
        <v>11138</v>
      </c>
      <c r="G177" s="195"/>
      <c r="H177" s="195">
        <f t="shared" ref="H177:I177" si="36">SUM(H172:H176)</f>
        <v>3864</v>
      </c>
      <c r="I177" s="195">
        <f t="shared" si="36"/>
        <v>15002</v>
      </c>
      <c r="J177" s="101"/>
    </row>
    <row r="178" spans="1:10" ht="24.6">
      <c r="A178" s="163"/>
      <c r="B178" s="125" t="s">
        <v>226</v>
      </c>
      <c r="C178" s="99"/>
      <c r="D178" s="125"/>
      <c r="E178" s="195"/>
      <c r="F178" s="195">
        <f>SUM(F177,F158,F133,F105)</f>
        <v>264918.46479999996</v>
      </c>
      <c r="G178" s="195"/>
      <c r="H178" s="195">
        <f>SUM(H177,H158,H133,H105)</f>
        <v>72469.773000000001</v>
      </c>
      <c r="I178" s="195">
        <f>SUM(I177,I158,I133,I105)</f>
        <v>337388.2378</v>
      </c>
      <c r="J178" s="92"/>
    </row>
    <row r="179" spans="1:10" s="76" customFormat="1" ht="24.6">
      <c r="A179" s="77"/>
      <c r="B179" s="90"/>
      <c r="C179" s="57"/>
      <c r="D179" s="85"/>
      <c r="E179" s="88"/>
      <c r="F179" s="88"/>
      <c r="G179" s="88"/>
      <c r="H179" s="88"/>
      <c r="I179" s="88"/>
      <c r="J179" s="92"/>
    </row>
    <row r="180" spans="1:10" s="76" customFormat="1" ht="24.6">
      <c r="A180" s="126"/>
      <c r="B180" s="169"/>
      <c r="C180" s="57"/>
      <c r="D180" s="85"/>
      <c r="E180" s="88"/>
      <c r="F180" s="88"/>
      <c r="G180" s="88"/>
      <c r="H180" s="88"/>
      <c r="I180" s="88"/>
      <c r="J180" s="57"/>
    </row>
    <row r="181" spans="1:10" ht="24.6">
      <c r="A181" s="151"/>
      <c r="B181" s="169"/>
      <c r="C181" s="57"/>
      <c r="D181" s="85"/>
      <c r="E181" s="88"/>
      <c r="F181" s="88"/>
      <c r="G181" s="88"/>
      <c r="H181" s="88"/>
      <c r="I181" s="88"/>
      <c r="J181" s="57"/>
    </row>
    <row r="182" spans="1:10" ht="24.6">
      <c r="A182" s="163"/>
      <c r="B182" s="125"/>
      <c r="C182" s="99"/>
      <c r="D182" s="125"/>
      <c r="E182" s="149"/>
      <c r="F182" s="99"/>
      <c r="G182" s="99"/>
      <c r="H182" s="99"/>
      <c r="I182" s="99"/>
      <c r="J182" s="99"/>
    </row>
    <row r="183" spans="1:10" ht="24.6">
      <c r="A183" s="77"/>
      <c r="B183" s="153"/>
      <c r="C183" s="57"/>
      <c r="D183" s="85"/>
      <c r="E183" s="57"/>
      <c r="F183" s="57"/>
      <c r="G183" s="57"/>
      <c r="H183" s="57"/>
      <c r="I183" s="57"/>
      <c r="J183" s="92"/>
    </row>
    <row r="184" spans="1:10" s="76" customFormat="1" ht="24.6">
      <c r="A184" s="77"/>
      <c r="B184" s="90"/>
      <c r="C184" s="57"/>
      <c r="D184" s="85"/>
      <c r="E184" s="57"/>
      <c r="F184" s="57"/>
      <c r="G184" s="57"/>
      <c r="H184" s="57"/>
      <c r="I184" s="57"/>
      <c r="J184" s="92"/>
    </row>
    <row r="185" spans="1:10" ht="24.6">
      <c r="A185" s="176"/>
      <c r="B185" s="140"/>
      <c r="C185" s="142"/>
      <c r="D185" s="141"/>
      <c r="E185" s="142"/>
      <c r="F185" s="142"/>
      <c r="G185" s="142"/>
      <c r="H185" s="142"/>
      <c r="I185" s="142"/>
      <c r="J185" s="142"/>
    </row>
    <row r="186" spans="1:10" ht="24.6">
      <c r="A186" s="221" t="s">
        <v>227</v>
      </c>
      <c r="B186" s="221"/>
      <c r="C186" s="221"/>
      <c r="D186" s="221"/>
      <c r="E186" s="221"/>
      <c r="F186" s="221"/>
      <c r="G186" s="221"/>
      <c r="H186" s="221"/>
      <c r="I186" s="221"/>
      <c r="J186" s="221"/>
    </row>
    <row r="187" spans="1:10" ht="24.6">
      <c r="A187" s="222" t="s">
        <v>1</v>
      </c>
      <c r="B187" s="222"/>
      <c r="C187" s="222"/>
      <c r="D187" s="222"/>
      <c r="E187" s="222"/>
      <c r="F187" s="222"/>
      <c r="G187" s="222"/>
      <c r="H187" s="222"/>
      <c r="I187" s="222"/>
      <c r="J187" s="222"/>
    </row>
    <row r="188" spans="1:10" ht="24.6">
      <c r="A188" s="48" t="s">
        <v>2</v>
      </c>
      <c r="B188" s="48"/>
      <c r="C188" s="48"/>
      <c r="D188" s="48"/>
      <c r="E188" s="48"/>
      <c r="F188" s="48"/>
      <c r="G188" s="48"/>
      <c r="H188" s="48"/>
      <c r="I188" s="48"/>
      <c r="J188" s="48"/>
    </row>
    <row r="189" spans="1:10" ht="24.6">
      <c r="A189" s="27" t="s">
        <v>3</v>
      </c>
      <c r="B189" s="27"/>
      <c r="C189" s="27"/>
      <c r="D189" s="27"/>
      <c r="E189" s="27"/>
      <c r="F189" s="27"/>
      <c r="G189" s="27"/>
      <c r="H189" s="27"/>
      <c r="I189" s="27"/>
      <c r="J189" s="27"/>
    </row>
    <row r="190" spans="1:10" ht="24.6">
      <c r="A190" s="27" t="s">
        <v>4</v>
      </c>
      <c r="B190" s="27"/>
      <c r="C190" s="27"/>
      <c r="D190" s="27"/>
      <c r="E190" s="68"/>
      <c r="F190" s="69" t="s">
        <v>5</v>
      </c>
      <c r="G190" s="27"/>
      <c r="H190" s="27"/>
      <c r="I190" s="27"/>
      <c r="J190" s="27"/>
    </row>
    <row r="191" spans="1:10" ht="24.6">
      <c r="A191" s="27" t="s">
        <v>6</v>
      </c>
      <c r="B191" s="27"/>
      <c r="C191" s="27"/>
      <c r="D191" s="27"/>
      <c r="E191" s="27"/>
      <c r="F191" s="27"/>
      <c r="G191" s="27"/>
      <c r="H191" s="27"/>
      <c r="I191" s="27"/>
      <c r="J191" s="27"/>
    </row>
    <row r="192" spans="1:10" ht="24.6">
      <c r="A192" s="27" t="s">
        <v>351</v>
      </c>
      <c r="B192" s="27"/>
      <c r="C192" s="27"/>
      <c r="D192" s="27"/>
      <c r="E192" s="29" t="s">
        <v>7</v>
      </c>
      <c r="F192" s="29" t="s">
        <v>8</v>
      </c>
      <c r="G192" s="29" t="s">
        <v>9</v>
      </c>
      <c r="H192" s="29" t="s">
        <v>10</v>
      </c>
      <c r="I192" s="29" t="s">
        <v>11</v>
      </c>
      <c r="J192" s="27"/>
    </row>
    <row r="193" spans="1:10" ht="24.6">
      <c r="A193" s="223" t="s">
        <v>12</v>
      </c>
      <c r="B193" s="223"/>
      <c r="C193" s="223"/>
      <c r="D193" s="223"/>
      <c r="E193" s="223"/>
      <c r="F193" s="223"/>
      <c r="G193" s="223"/>
      <c r="H193" s="223"/>
      <c r="I193" s="223"/>
      <c r="J193" s="223"/>
    </row>
    <row r="194" spans="1:10" ht="24.6">
      <c r="A194" s="226" t="s">
        <v>13</v>
      </c>
      <c r="B194" s="226" t="s">
        <v>14</v>
      </c>
      <c r="C194" s="226" t="s">
        <v>15</v>
      </c>
      <c r="D194" s="226" t="s">
        <v>16</v>
      </c>
      <c r="E194" s="224" t="s">
        <v>17</v>
      </c>
      <c r="F194" s="225"/>
      <c r="G194" s="224" t="s">
        <v>18</v>
      </c>
      <c r="H194" s="225"/>
      <c r="I194" s="40" t="s">
        <v>19</v>
      </c>
      <c r="J194" s="70" t="s">
        <v>20</v>
      </c>
    </row>
    <row r="195" spans="1:10" s="181" customFormat="1" ht="22.8">
      <c r="A195" s="227"/>
      <c r="B195" s="227"/>
      <c r="C195" s="227"/>
      <c r="D195" s="227"/>
      <c r="E195" s="179" t="s">
        <v>21</v>
      </c>
      <c r="F195" s="179" t="s">
        <v>22</v>
      </c>
      <c r="G195" s="179" t="s">
        <v>21</v>
      </c>
      <c r="H195" s="179" t="s">
        <v>22</v>
      </c>
      <c r="I195" s="180" t="s">
        <v>23</v>
      </c>
      <c r="J195" s="179"/>
    </row>
    <row r="196" spans="1:10" ht="24.6">
      <c r="A196" s="71">
        <v>4</v>
      </c>
      <c r="B196" s="177" t="s">
        <v>228</v>
      </c>
      <c r="C196" s="75"/>
      <c r="D196" s="111"/>
      <c r="E196" s="75"/>
      <c r="F196" s="75"/>
      <c r="G196" s="75"/>
      <c r="H196" s="75"/>
      <c r="I196" s="75"/>
      <c r="J196" s="75"/>
    </row>
    <row r="197" spans="1:10" ht="24.6">
      <c r="A197" s="126" t="s">
        <v>229</v>
      </c>
      <c r="B197" s="170" t="s">
        <v>230</v>
      </c>
      <c r="C197" s="190">
        <v>8</v>
      </c>
      <c r="D197" s="85" t="s">
        <v>231</v>
      </c>
      <c r="E197" s="88">
        <v>350</v>
      </c>
      <c r="F197" s="88">
        <f t="shared" ref="F197:F199" si="37">SUM(C197*E197)</f>
        <v>2800</v>
      </c>
      <c r="G197" s="88"/>
      <c r="H197" s="88"/>
      <c r="I197" s="88">
        <f t="shared" ref="I197:I199" si="38">SUM(F197+H197)</f>
        <v>2800</v>
      </c>
      <c r="J197" s="88"/>
    </row>
    <row r="198" spans="1:10" ht="24.6">
      <c r="A198" s="126" t="s">
        <v>232</v>
      </c>
      <c r="B198" s="152" t="s">
        <v>233</v>
      </c>
      <c r="C198" s="190">
        <v>1</v>
      </c>
      <c r="D198" s="85" t="s">
        <v>29</v>
      </c>
      <c r="E198" s="88">
        <v>20000</v>
      </c>
      <c r="F198" s="88">
        <f t="shared" si="37"/>
        <v>20000</v>
      </c>
      <c r="G198" s="88"/>
      <c r="H198" s="88"/>
      <c r="I198" s="88">
        <f t="shared" si="38"/>
        <v>20000</v>
      </c>
      <c r="J198" s="88"/>
    </row>
    <row r="199" spans="1:10" s="76" customFormat="1" ht="24.6">
      <c r="A199" s="126" t="s">
        <v>234</v>
      </c>
      <c r="B199" s="170" t="s">
        <v>235</v>
      </c>
      <c r="C199" s="190">
        <v>8</v>
      </c>
      <c r="D199" s="85" t="s">
        <v>42</v>
      </c>
      <c r="E199" s="88">
        <v>900</v>
      </c>
      <c r="F199" s="88">
        <f t="shared" si="37"/>
        <v>7200</v>
      </c>
      <c r="G199" s="88"/>
      <c r="H199" s="88"/>
      <c r="I199" s="88">
        <f t="shared" si="38"/>
        <v>7200</v>
      </c>
      <c r="J199" s="88"/>
    </row>
    <row r="200" spans="1:10" ht="24.6">
      <c r="A200" s="126"/>
      <c r="B200" s="178" t="s">
        <v>236</v>
      </c>
      <c r="C200" s="191"/>
      <c r="D200" s="125"/>
      <c r="E200" s="195"/>
      <c r="F200" s="195">
        <f>SUM(F197:F199)</f>
        <v>30000</v>
      </c>
      <c r="G200" s="195"/>
      <c r="H200" s="195"/>
      <c r="I200" s="195">
        <f>SUM(I197:I199)</f>
        <v>30000</v>
      </c>
      <c r="J200" s="88"/>
    </row>
    <row r="201" spans="1:10" ht="24.6">
      <c r="A201" s="126"/>
      <c r="B201" s="87"/>
      <c r="C201" s="190"/>
      <c r="D201" s="85"/>
      <c r="E201" s="88"/>
      <c r="F201" s="88"/>
      <c r="G201" s="88"/>
      <c r="H201" s="88"/>
      <c r="I201" s="88"/>
      <c r="J201" s="88"/>
    </row>
    <row r="202" spans="1:10" ht="24.6">
      <c r="A202" s="126"/>
      <c r="B202" s="152"/>
      <c r="C202" s="190"/>
      <c r="D202" s="85"/>
      <c r="E202" s="88"/>
      <c r="F202" s="88"/>
      <c r="G202" s="88"/>
      <c r="H202" s="88"/>
      <c r="I202" s="88"/>
      <c r="J202" s="88"/>
    </row>
    <row r="203" spans="1:10" ht="24.6">
      <c r="A203" s="151"/>
      <c r="B203" s="153"/>
      <c r="C203" s="57"/>
      <c r="D203" s="85"/>
      <c r="E203" s="86"/>
      <c r="F203" s="57"/>
      <c r="G203" s="86"/>
      <c r="H203" s="57"/>
      <c r="I203" s="57"/>
      <c r="J203" s="57"/>
    </row>
    <row r="204" spans="1:10" ht="24.6">
      <c r="A204" s="126"/>
      <c r="B204" s="90"/>
      <c r="C204" s="57"/>
      <c r="D204" s="85"/>
      <c r="E204" s="86"/>
      <c r="F204" s="57"/>
      <c r="G204" s="86"/>
      <c r="H204" s="57"/>
      <c r="I204" s="57"/>
      <c r="J204" s="57"/>
    </row>
    <row r="205" spans="1:10" ht="24.6">
      <c r="A205" s="77"/>
      <c r="B205" s="90"/>
      <c r="C205" s="57"/>
      <c r="D205" s="85"/>
      <c r="E205" s="57"/>
      <c r="F205" s="57"/>
      <c r="G205" s="57"/>
      <c r="H205" s="57"/>
      <c r="I205" s="57"/>
      <c r="J205" s="92"/>
    </row>
    <row r="206" spans="1:10" ht="24.6">
      <c r="A206" s="77"/>
      <c r="B206" s="153"/>
      <c r="C206" s="57"/>
      <c r="D206" s="85"/>
      <c r="E206" s="57"/>
      <c r="F206" s="57"/>
      <c r="G206" s="57"/>
      <c r="H206" s="57"/>
      <c r="I206" s="57"/>
      <c r="J206" s="92"/>
    </row>
    <row r="207" spans="1:10" ht="24.6">
      <c r="A207" s="77"/>
      <c r="B207" s="96"/>
      <c r="C207" s="92"/>
      <c r="D207" s="102"/>
      <c r="E207" s="92"/>
      <c r="F207" s="57"/>
      <c r="G207" s="92"/>
      <c r="H207" s="57"/>
      <c r="I207" s="57"/>
      <c r="J207" s="92"/>
    </row>
    <row r="208" spans="1:10" ht="24.6">
      <c r="A208" s="176"/>
      <c r="B208" s="140"/>
      <c r="C208" s="142"/>
      <c r="D208" s="141"/>
      <c r="E208" s="142"/>
      <c r="F208" s="142"/>
      <c r="G208" s="142"/>
      <c r="H208" s="142"/>
      <c r="I208" s="142"/>
      <c r="J208" s="142"/>
    </row>
  </sheetData>
  <mergeCells count="72">
    <mergeCell ref="A1:J1"/>
    <mergeCell ref="A2:J2"/>
    <mergeCell ref="A8:J8"/>
    <mergeCell ref="E9:F9"/>
    <mergeCell ref="G9:H9"/>
    <mergeCell ref="A9:A10"/>
    <mergeCell ref="B9:B10"/>
    <mergeCell ref="C9:C10"/>
    <mergeCell ref="D9:D10"/>
    <mergeCell ref="A28:J28"/>
    <mergeCell ref="A29:J29"/>
    <mergeCell ref="A35:J35"/>
    <mergeCell ref="E36:F36"/>
    <mergeCell ref="G36:H36"/>
    <mergeCell ref="A36:A37"/>
    <mergeCell ref="B36:B37"/>
    <mergeCell ref="C36:C37"/>
    <mergeCell ref="D36:D37"/>
    <mergeCell ref="A54:J54"/>
    <mergeCell ref="A55:J55"/>
    <mergeCell ref="A61:J61"/>
    <mergeCell ref="E62:F62"/>
    <mergeCell ref="G62:H62"/>
    <mergeCell ref="A62:A63"/>
    <mergeCell ref="B62:B63"/>
    <mergeCell ref="C62:C63"/>
    <mergeCell ref="D62:D63"/>
    <mergeCell ref="A82:J82"/>
    <mergeCell ref="A83:J83"/>
    <mergeCell ref="A89:J89"/>
    <mergeCell ref="E90:F90"/>
    <mergeCell ref="G90:H90"/>
    <mergeCell ref="A90:A91"/>
    <mergeCell ref="B90:B91"/>
    <mergeCell ref="C90:C91"/>
    <mergeCell ref="D90:D91"/>
    <mergeCell ref="A106:J106"/>
    <mergeCell ref="A107:J107"/>
    <mergeCell ref="A113:J113"/>
    <mergeCell ref="E114:F114"/>
    <mergeCell ref="G114:H114"/>
    <mergeCell ref="A114:A115"/>
    <mergeCell ref="B114:B115"/>
    <mergeCell ref="C114:C115"/>
    <mergeCell ref="D114:D115"/>
    <mergeCell ref="A134:J134"/>
    <mergeCell ref="A135:J135"/>
    <mergeCell ref="A141:J141"/>
    <mergeCell ref="E142:F142"/>
    <mergeCell ref="G142:H142"/>
    <mergeCell ref="A142:A143"/>
    <mergeCell ref="B142:B143"/>
    <mergeCell ref="C142:C143"/>
    <mergeCell ref="D142:D143"/>
    <mergeCell ref="A161:J161"/>
    <mergeCell ref="A162:J162"/>
    <mergeCell ref="A168:J168"/>
    <mergeCell ref="E169:F169"/>
    <mergeCell ref="G169:H169"/>
    <mergeCell ref="A169:A170"/>
    <mergeCell ref="B169:B170"/>
    <mergeCell ref="C169:C170"/>
    <mergeCell ref="D169:D170"/>
    <mergeCell ref="A186:J186"/>
    <mergeCell ref="A187:J187"/>
    <mergeCell ref="A193:J193"/>
    <mergeCell ref="E194:F194"/>
    <mergeCell ref="G194:H194"/>
    <mergeCell ref="A194:A195"/>
    <mergeCell ref="B194:B195"/>
    <mergeCell ref="C194:C195"/>
    <mergeCell ref="D194:D195"/>
  </mergeCells>
  <printOptions horizontalCentered="1"/>
  <pageMargins left="0.15748031496062992" right="0.15748031496062992" top="0.4" bottom="0.43307086614173229" header="0.31496062992125984" footer="0.23622047244094491"/>
  <pageSetup paperSize="9" scale="77" orientation="landscape" r:id="rId1"/>
  <rowBreaks count="7" manualBreakCount="7">
    <brk id="27" max="9" man="1"/>
    <brk id="53" max="9" man="1"/>
    <brk id="81" max="9" man="1"/>
    <brk id="105" max="9" man="1"/>
    <brk id="133" max="9" man="1"/>
    <brk id="160" max="9" man="1"/>
    <brk id="185" max="9" man="1"/>
  </rowBreaks>
  <ignoredErrors>
    <ignoredError sqref="A197:A19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tabSelected="1" view="pageBreakPreview" topLeftCell="A7" zoomScaleNormal="100" zoomScaleSheetLayoutView="100" workbookViewId="0">
      <selection activeCell="I14" sqref="I14"/>
    </sheetView>
  </sheetViews>
  <sheetFormatPr defaultColWidth="9" defaultRowHeight="21"/>
  <cols>
    <col min="1" max="1" width="6.109375" style="67" customWidth="1"/>
    <col min="2" max="2" width="54.33203125" style="67" customWidth="1"/>
    <col min="3" max="3" width="10" style="67" customWidth="1"/>
    <col min="4" max="4" width="7" style="67" customWidth="1"/>
    <col min="5" max="5" width="13.77734375" style="67" customWidth="1"/>
    <col min="6" max="6" width="14.6640625" style="67" customWidth="1"/>
    <col min="7" max="7" width="12.21875" style="67" customWidth="1"/>
    <col min="8" max="8" width="13" style="67" customWidth="1"/>
    <col min="9" max="9" width="17.109375" style="67" customWidth="1"/>
    <col min="10" max="10" width="8.5546875" style="67" customWidth="1"/>
    <col min="11" max="11" width="13.6640625" style="67" customWidth="1"/>
    <col min="12" max="12" width="13.109375" style="67" customWidth="1"/>
    <col min="13" max="13" width="13.5546875" style="67" customWidth="1"/>
    <col min="14" max="14" width="13.44140625" style="67" customWidth="1"/>
    <col min="15" max="16384" width="9" style="67"/>
  </cols>
  <sheetData>
    <row r="1" spans="1:10" ht="24.6">
      <c r="A1" s="221" t="s">
        <v>237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0" ht="24.6">
      <c r="A2" s="222" t="s">
        <v>1</v>
      </c>
      <c r="B2" s="222"/>
      <c r="C2" s="222"/>
      <c r="D2" s="222"/>
      <c r="E2" s="222"/>
      <c r="F2" s="222"/>
      <c r="G2" s="222"/>
      <c r="H2" s="222"/>
      <c r="I2" s="222"/>
      <c r="J2" s="222"/>
    </row>
    <row r="3" spans="1:10" ht="24.6">
      <c r="A3" s="48" t="s">
        <v>2</v>
      </c>
      <c r="B3" s="48"/>
      <c r="C3" s="48"/>
      <c r="D3" s="48"/>
      <c r="E3" s="48"/>
      <c r="F3" s="48"/>
      <c r="G3" s="48"/>
      <c r="H3" s="48"/>
      <c r="I3" s="48"/>
      <c r="J3" s="48"/>
    </row>
    <row r="4" spans="1:10" ht="24.6">
      <c r="A4" s="27" t="s">
        <v>3</v>
      </c>
      <c r="B4" s="27"/>
      <c r="C4" s="27"/>
      <c r="D4" s="27"/>
      <c r="E4" s="27"/>
      <c r="F4" s="27"/>
      <c r="G4" s="27"/>
      <c r="H4" s="27"/>
      <c r="I4" s="27"/>
      <c r="J4" s="27"/>
    </row>
    <row r="5" spans="1:10" ht="24.6">
      <c r="A5" s="27" t="s">
        <v>4</v>
      </c>
      <c r="B5" s="27"/>
      <c r="C5" s="27"/>
      <c r="D5" s="27"/>
      <c r="E5" s="68"/>
      <c r="F5" s="69" t="s">
        <v>5</v>
      </c>
      <c r="G5" s="27"/>
      <c r="H5" s="27"/>
      <c r="I5" s="27"/>
      <c r="J5" s="27"/>
    </row>
    <row r="6" spans="1:10" ht="24.6">
      <c r="A6" s="27" t="s">
        <v>6</v>
      </c>
      <c r="B6" s="27"/>
      <c r="C6" s="27"/>
      <c r="D6" s="27"/>
      <c r="E6" s="27"/>
      <c r="F6" s="27"/>
      <c r="G6" s="27"/>
      <c r="H6" s="27"/>
      <c r="I6" s="27"/>
      <c r="J6" s="27"/>
    </row>
    <row r="7" spans="1:10" ht="24.6">
      <c r="A7" s="27" t="s">
        <v>351</v>
      </c>
      <c r="B7" s="27"/>
      <c r="C7" s="27"/>
      <c r="D7" s="27"/>
      <c r="E7" s="29" t="s">
        <v>7</v>
      </c>
      <c r="F7" s="29" t="s">
        <v>8</v>
      </c>
      <c r="G7" s="29" t="s">
        <v>9</v>
      </c>
      <c r="H7" s="29" t="s">
        <v>10</v>
      </c>
      <c r="I7" s="29" t="s">
        <v>11</v>
      </c>
      <c r="J7" s="27"/>
    </row>
    <row r="8" spans="1:10" ht="24.6">
      <c r="A8" s="221" t="s">
        <v>12</v>
      </c>
      <c r="B8" s="221"/>
      <c r="C8" s="221"/>
      <c r="D8" s="221"/>
      <c r="E8" s="221"/>
      <c r="F8" s="221"/>
      <c r="G8" s="221"/>
      <c r="H8" s="221"/>
      <c r="I8" s="221"/>
      <c r="J8" s="221"/>
    </row>
    <row r="9" spans="1:10" ht="24.6">
      <c r="A9" s="226" t="s">
        <v>13</v>
      </c>
      <c r="B9" s="226" t="s">
        <v>14</v>
      </c>
      <c r="C9" s="226" t="s">
        <v>15</v>
      </c>
      <c r="D9" s="226" t="s">
        <v>16</v>
      </c>
      <c r="E9" s="228" t="s">
        <v>17</v>
      </c>
      <c r="F9" s="228"/>
      <c r="G9" s="228" t="s">
        <v>18</v>
      </c>
      <c r="H9" s="228"/>
      <c r="I9" s="40" t="s">
        <v>19</v>
      </c>
      <c r="J9" s="70" t="s">
        <v>20</v>
      </c>
    </row>
    <row r="10" spans="1:10" s="181" customFormat="1" ht="22.8">
      <c r="A10" s="227"/>
      <c r="B10" s="227"/>
      <c r="C10" s="227"/>
      <c r="D10" s="227"/>
      <c r="E10" s="179" t="s">
        <v>21</v>
      </c>
      <c r="F10" s="179" t="s">
        <v>22</v>
      </c>
      <c r="G10" s="179" t="s">
        <v>21</v>
      </c>
      <c r="H10" s="179" t="s">
        <v>22</v>
      </c>
      <c r="I10" s="180" t="s">
        <v>23</v>
      </c>
      <c r="J10" s="179"/>
    </row>
    <row r="11" spans="1:10" s="76" customFormat="1" ht="24.6">
      <c r="A11" s="71">
        <v>1</v>
      </c>
      <c r="B11" s="72" t="s">
        <v>238</v>
      </c>
      <c r="C11" s="73"/>
      <c r="D11" s="74"/>
      <c r="E11" s="73"/>
      <c r="F11" s="75"/>
      <c r="G11" s="75"/>
      <c r="H11" s="75"/>
      <c r="I11" s="75"/>
      <c r="J11" s="75"/>
    </row>
    <row r="12" spans="1:10" ht="24.6">
      <c r="A12" s="77" t="s">
        <v>239</v>
      </c>
      <c r="B12" s="35" t="s">
        <v>240</v>
      </c>
      <c r="C12" s="216">
        <v>6</v>
      </c>
      <c r="D12" s="79" t="s">
        <v>241</v>
      </c>
      <c r="E12" s="212">
        <v>42523.360000000001</v>
      </c>
      <c r="F12" s="88">
        <f>SUM(C12*E12)</f>
        <v>255140.16</v>
      </c>
      <c r="G12" s="88">
        <v>0</v>
      </c>
      <c r="H12" s="88">
        <f>SUM(C12*G12)</f>
        <v>0</v>
      </c>
      <c r="I12" s="88">
        <f>SUM(F12+H12)</f>
        <v>255140.16</v>
      </c>
      <c r="J12" s="78"/>
    </row>
    <row r="13" spans="1:10" ht="24.6">
      <c r="A13" s="80"/>
      <c r="B13" s="81" t="s">
        <v>242</v>
      </c>
      <c r="C13" s="201"/>
      <c r="D13" s="83"/>
      <c r="E13" s="201"/>
      <c r="F13" s="88"/>
      <c r="G13" s="88"/>
      <c r="H13" s="88"/>
      <c r="I13" s="88"/>
      <c r="J13" s="57"/>
    </row>
    <row r="14" spans="1:10" ht="24.6">
      <c r="A14" s="80"/>
      <c r="B14" s="84" t="s">
        <v>243</v>
      </c>
      <c r="C14" s="88"/>
      <c r="D14" s="85"/>
      <c r="E14" s="88"/>
      <c r="F14" s="88"/>
      <c r="G14" s="88"/>
      <c r="H14" s="88"/>
      <c r="I14" s="88"/>
      <c r="J14" s="57"/>
    </row>
    <row r="15" spans="1:10" ht="24.6">
      <c r="A15" s="77"/>
      <c r="B15" s="87" t="s">
        <v>244</v>
      </c>
      <c r="C15" s="88"/>
      <c r="D15" s="85"/>
      <c r="E15" s="88"/>
      <c r="F15" s="88"/>
      <c r="G15" s="88"/>
      <c r="H15" s="88"/>
      <c r="I15" s="88"/>
      <c r="J15" s="57"/>
    </row>
    <row r="16" spans="1:10" ht="24.6">
      <c r="A16" s="89"/>
      <c r="B16" s="90" t="s">
        <v>245</v>
      </c>
      <c r="C16" s="88"/>
      <c r="D16" s="80"/>
      <c r="E16" s="88"/>
      <c r="F16" s="88"/>
      <c r="G16" s="88"/>
      <c r="H16" s="88"/>
      <c r="I16" s="88"/>
      <c r="J16" s="57"/>
    </row>
    <row r="17" spans="1:10" ht="24.6">
      <c r="A17" s="77"/>
      <c r="B17" s="91" t="s">
        <v>246</v>
      </c>
      <c r="C17" s="210"/>
      <c r="D17" s="89"/>
      <c r="E17" s="210"/>
      <c r="F17" s="88"/>
      <c r="G17" s="88"/>
      <c r="H17" s="88"/>
      <c r="I17" s="88"/>
      <c r="J17" s="78"/>
    </row>
    <row r="18" spans="1:10" ht="24.6">
      <c r="A18" s="77" t="s">
        <v>247</v>
      </c>
      <c r="B18" s="35" t="s">
        <v>248</v>
      </c>
      <c r="C18" s="217">
        <v>1</v>
      </c>
      <c r="D18" s="187" t="s">
        <v>42</v>
      </c>
      <c r="E18" s="213">
        <f>(1399110.19+1402952.28+1403545)/3</f>
        <v>1401869.1566666665</v>
      </c>
      <c r="F18" s="214">
        <f>SUM(C18*E18)</f>
        <v>1401869.1566666665</v>
      </c>
      <c r="G18" s="214">
        <v>0</v>
      </c>
      <c r="H18" s="214">
        <f>SUM(C18*G18)</f>
        <v>0</v>
      </c>
      <c r="I18" s="214">
        <f t="shared" ref="I18" si="0">SUM(F18+H18)</f>
        <v>1401869.1566666665</v>
      </c>
      <c r="J18" s="78"/>
    </row>
    <row r="19" spans="1:10" ht="24.6">
      <c r="A19" s="77"/>
      <c r="B19" s="93" t="s">
        <v>249</v>
      </c>
      <c r="C19" s="94"/>
      <c r="D19" s="95"/>
      <c r="E19" s="215"/>
      <c r="F19" s="88"/>
      <c r="G19" s="88"/>
      <c r="H19" s="88"/>
      <c r="I19" s="88"/>
      <c r="J19" s="78"/>
    </row>
    <row r="20" spans="1:10" ht="24.6">
      <c r="A20" s="80"/>
      <c r="B20" s="84"/>
      <c r="C20" s="57"/>
      <c r="D20" s="85"/>
      <c r="E20" s="86"/>
      <c r="F20" s="57"/>
      <c r="G20" s="86"/>
      <c r="H20" s="57"/>
      <c r="I20" s="57"/>
      <c r="J20" s="78"/>
    </row>
    <row r="21" spans="1:10" ht="24.6">
      <c r="A21" s="77"/>
      <c r="B21" s="87"/>
      <c r="C21" s="86"/>
      <c r="D21" s="85"/>
      <c r="E21" s="88"/>
      <c r="F21" s="57"/>
      <c r="G21" s="57"/>
      <c r="H21" s="57"/>
      <c r="I21" s="57"/>
      <c r="J21" s="78"/>
    </row>
    <row r="22" spans="1:10" ht="24.6">
      <c r="A22" s="89"/>
      <c r="B22" s="90"/>
      <c r="C22" s="57"/>
      <c r="D22" s="80"/>
      <c r="E22" s="57"/>
      <c r="F22" s="57"/>
      <c r="G22" s="57"/>
      <c r="H22" s="57"/>
      <c r="I22" s="57"/>
      <c r="J22" s="57"/>
    </row>
    <row r="23" spans="1:10" ht="24.6">
      <c r="A23" s="77"/>
      <c r="B23" s="91"/>
      <c r="C23" s="92"/>
      <c r="D23" s="89"/>
      <c r="E23" s="92"/>
      <c r="F23" s="92"/>
      <c r="G23" s="92"/>
      <c r="H23" s="92"/>
      <c r="I23" s="92"/>
      <c r="J23" s="92"/>
    </row>
    <row r="24" spans="1:10" s="76" customFormat="1" ht="24.6">
      <c r="A24" s="183"/>
      <c r="B24" s="184" t="s">
        <v>30</v>
      </c>
      <c r="C24" s="185"/>
      <c r="D24" s="186"/>
      <c r="E24" s="185"/>
      <c r="F24" s="185">
        <f>SUM(F12+F18+F19+F20+F21+F22+F23)</f>
        <v>1657009.3166666664</v>
      </c>
      <c r="G24" s="185"/>
      <c r="H24" s="185">
        <f t="shared" ref="H24" si="1">SUM(H12+H18+H19+H20+H21+H22+H23)</f>
        <v>0</v>
      </c>
      <c r="I24" s="185">
        <f>SUM(I12:I18)</f>
        <v>1657009.3166666664</v>
      </c>
      <c r="J24" s="185"/>
    </row>
    <row r="51" spans="1:10">
      <c r="A51" s="106"/>
      <c r="B51" s="107"/>
      <c r="C51" s="107"/>
      <c r="D51" s="107"/>
      <c r="E51" s="107"/>
      <c r="F51" s="107"/>
      <c r="G51" s="107"/>
      <c r="H51" s="107"/>
      <c r="I51" s="107"/>
      <c r="J51" s="108"/>
    </row>
    <row r="80" spans="1:10">
      <c r="A80" s="106"/>
      <c r="B80" s="107"/>
      <c r="C80" s="107"/>
      <c r="D80" s="107"/>
      <c r="E80" s="107"/>
      <c r="F80" s="107"/>
      <c r="G80" s="107"/>
      <c r="H80" s="107"/>
      <c r="I80" s="107"/>
      <c r="J80" s="108"/>
    </row>
    <row r="105" spans="1:10">
      <c r="A105" s="107"/>
      <c r="B105" s="107"/>
      <c r="C105" s="107"/>
      <c r="D105" s="107"/>
      <c r="E105" s="107"/>
      <c r="F105" s="107"/>
      <c r="G105" s="107"/>
      <c r="H105" s="107"/>
      <c r="I105" s="107"/>
      <c r="J105" s="107"/>
    </row>
  </sheetData>
  <mergeCells count="9">
    <mergeCell ref="A1:J1"/>
    <mergeCell ref="A2:J2"/>
    <mergeCell ref="A8:J8"/>
    <mergeCell ref="E9:F9"/>
    <mergeCell ref="G9:H9"/>
    <mergeCell ref="A9:A10"/>
    <mergeCell ref="B9:B10"/>
    <mergeCell ref="C9:C10"/>
    <mergeCell ref="D9:D10"/>
  </mergeCells>
  <printOptions horizontalCentered="1"/>
  <pageMargins left="0.15748031496062992" right="0.15748031496062992" top="0.41" bottom="0.55118110236220474" header="0.31496062992125984" footer="0.31496062992125984"/>
  <pageSetup paperSize="9" scale="85" orientation="landscape" r:id="rId1"/>
  <ignoredErrors>
    <ignoredError sqref="A12:A1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view="pageBreakPreview" topLeftCell="A10" zoomScaleNormal="60" zoomScaleSheetLayoutView="100" workbookViewId="0">
      <selection activeCell="B18" sqref="B18"/>
    </sheetView>
  </sheetViews>
  <sheetFormatPr defaultColWidth="9" defaultRowHeight="24.6"/>
  <cols>
    <col min="1" max="1" width="8.44140625" style="26" customWidth="1"/>
    <col min="2" max="2" width="40.44140625" style="26" customWidth="1"/>
    <col min="3" max="3" width="15.77734375" style="26" customWidth="1"/>
    <col min="4" max="4" width="11.44140625" style="26" customWidth="1"/>
    <col min="5" max="5" width="15.33203125" style="26" customWidth="1"/>
    <col min="6" max="6" width="13.21875" style="26" customWidth="1"/>
    <col min="7" max="16384" width="9" style="26"/>
  </cols>
  <sheetData>
    <row r="1" spans="1:6">
      <c r="A1" s="221" t="s">
        <v>250</v>
      </c>
      <c r="B1" s="221"/>
      <c r="C1" s="221"/>
      <c r="D1" s="221"/>
      <c r="E1" s="221"/>
      <c r="F1" s="221"/>
    </row>
    <row r="2" spans="1:6">
      <c r="A2" s="222" t="s">
        <v>251</v>
      </c>
      <c r="B2" s="222"/>
      <c r="C2" s="222"/>
      <c r="D2" s="222"/>
      <c r="E2" s="222"/>
      <c r="F2" s="222"/>
    </row>
    <row r="3" spans="1:6">
      <c r="A3" s="48" t="s">
        <v>252</v>
      </c>
      <c r="B3" s="48"/>
      <c r="C3" s="48"/>
      <c r="D3" s="48"/>
      <c r="E3" s="48"/>
      <c r="F3" s="48"/>
    </row>
    <row r="4" spans="1:6">
      <c r="A4" s="27" t="s">
        <v>355</v>
      </c>
      <c r="B4" s="27"/>
      <c r="C4" s="28"/>
      <c r="D4" s="28"/>
      <c r="E4" s="28"/>
      <c r="F4" s="28"/>
    </row>
    <row r="5" spans="1:6">
      <c r="A5" s="27"/>
      <c r="B5" s="27" t="s">
        <v>356</v>
      </c>
      <c r="C5" s="28"/>
      <c r="D5" s="28"/>
      <c r="E5" s="28"/>
      <c r="F5" s="28"/>
    </row>
    <row r="6" spans="1:6">
      <c r="A6" s="27" t="s">
        <v>4</v>
      </c>
      <c r="B6" s="27"/>
      <c r="C6" s="27"/>
      <c r="D6" s="27"/>
      <c r="E6" s="27"/>
      <c r="F6" s="27"/>
    </row>
    <row r="7" spans="1:6">
      <c r="A7" s="27" t="s">
        <v>5</v>
      </c>
      <c r="B7" s="27"/>
      <c r="C7" s="27"/>
      <c r="D7" s="27"/>
      <c r="E7" s="27"/>
      <c r="F7" s="27"/>
    </row>
    <row r="8" spans="1:6">
      <c r="A8" s="27" t="s">
        <v>6</v>
      </c>
      <c r="B8" s="27"/>
      <c r="C8" s="27"/>
      <c r="D8" s="27"/>
      <c r="E8" s="27"/>
      <c r="F8" s="27"/>
    </row>
    <row r="9" spans="1:6">
      <c r="A9" s="27" t="s">
        <v>253</v>
      </c>
      <c r="B9" s="27"/>
      <c r="C9" s="29"/>
      <c r="D9" s="27"/>
      <c r="E9" s="27"/>
      <c r="F9" s="27"/>
    </row>
    <row r="10" spans="1:6">
      <c r="A10" s="27" t="s">
        <v>353</v>
      </c>
      <c r="B10" s="27"/>
      <c r="C10" s="29" t="s">
        <v>9</v>
      </c>
      <c r="D10" s="29" t="s">
        <v>10</v>
      </c>
      <c r="E10" s="29" t="s">
        <v>11</v>
      </c>
      <c r="F10" s="27"/>
    </row>
    <row r="11" spans="1:6">
      <c r="A11" s="221" t="s">
        <v>12</v>
      </c>
      <c r="B11" s="221"/>
      <c r="C11" s="221"/>
      <c r="D11" s="221"/>
      <c r="E11" s="221"/>
      <c r="F11" s="221"/>
    </row>
    <row r="12" spans="1:6" s="52" customFormat="1" ht="45.75" customHeight="1">
      <c r="A12" s="49" t="s">
        <v>13</v>
      </c>
      <c r="B12" s="50" t="s">
        <v>14</v>
      </c>
      <c r="C12" s="50" t="s">
        <v>254</v>
      </c>
      <c r="D12" s="50" t="s">
        <v>255</v>
      </c>
      <c r="E12" s="50" t="s">
        <v>256</v>
      </c>
      <c r="F12" s="51" t="s">
        <v>20</v>
      </c>
    </row>
    <row r="13" spans="1:6">
      <c r="A13" s="53">
        <v>1</v>
      </c>
      <c r="B13" s="66" t="s">
        <v>238</v>
      </c>
      <c r="C13" s="200">
        <f>SUM('ปร.4(ข)'!I24)</f>
        <v>1657009.3166666664</v>
      </c>
      <c r="D13" s="200">
        <v>1.07</v>
      </c>
      <c r="E13" s="200">
        <f>SUM(C13*D13)</f>
        <v>1772999.9688333331</v>
      </c>
      <c r="F13" s="55"/>
    </row>
    <row r="14" spans="1:6">
      <c r="A14" s="56"/>
      <c r="B14" s="35"/>
      <c r="C14" s="57"/>
      <c r="D14" s="58"/>
      <c r="E14" s="57"/>
      <c r="F14" s="59"/>
    </row>
    <row r="15" spans="1:6">
      <c r="A15" s="56"/>
      <c r="B15" s="35"/>
      <c r="C15" s="57"/>
      <c r="D15" s="58"/>
      <c r="E15" s="57"/>
      <c r="F15" s="59"/>
    </row>
    <row r="16" spans="1:6">
      <c r="A16" s="56"/>
      <c r="B16" s="35"/>
      <c r="C16" s="57"/>
      <c r="D16" s="58"/>
      <c r="E16" s="57"/>
      <c r="F16" s="59"/>
    </row>
    <row r="17" spans="1:6">
      <c r="A17" s="56"/>
      <c r="B17" s="35"/>
      <c r="C17" s="57"/>
      <c r="D17" s="58"/>
      <c r="E17" s="57"/>
      <c r="F17" s="59"/>
    </row>
    <row r="18" spans="1:6">
      <c r="A18" s="34"/>
      <c r="B18" s="35"/>
      <c r="C18" s="35"/>
      <c r="D18" s="35"/>
      <c r="E18" s="35"/>
      <c r="F18" s="59"/>
    </row>
    <row r="19" spans="1:6">
      <c r="A19" s="34"/>
      <c r="B19" s="35"/>
      <c r="C19" s="35"/>
      <c r="D19" s="35"/>
      <c r="E19" s="35"/>
      <c r="F19" s="59"/>
    </row>
    <row r="20" spans="1:6">
      <c r="A20" s="34"/>
      <c r="B20" s="35"/>
      <c r="C20" s="35"/>
      <c r="D20" s="35"/>
      <c r="E20" s="35"/>
      <c r="F20" s="59"/>
    </row>
    <row r="21" spans="1:6">
      <c r="A21" s="38"/>
      <c r="B21" s="62"/>
      <c r="C21" s="62"/>
      <c r="D21" s="62"/>
      <c r="E21" s="62"/>
      <c r="F21" s="63"/>
    </row>
    <row r="22" spans="1:6">
      <c r="A22" s="230" t="s">
        <v>257</v>
      </c>
      <c r="B22" s="230"/>
      <c r="C22" s="230"/>
      <c r="D22" s="230"/>
      <c r="E22" s="218">
        <f>SUM(E13:E21)</f>
        <v>1772999.9688333331</v>
      </c>
    </row>
    <row r="23" spans="1:6" ht="12.75" customHeight="1"/>
    <row r="24" spans="1:6">
      <c r="C24" s="64"/>
      <c r="D24" s="65"/>
      <c r="E24" s="64"/>
    </row>
    <row r="25" spans="1:6">
      <c r="A25" s="229"/>
      <c r="B25" s="229"/>
      <c r="C25" s="229"/>
      <c r="D25" s="229"/>
      <c r="E25" s="229"/>
      <c r="F25" s="229"/>
    </row>
    <row r="26" spans="1:6">
      <c r="A26" s="229"/>
      <c r="B26" s="229"/>
      <c r="C26" s="229"/>
      <c r="D26" s="229"/>
      <c r="E26" s="229"/>
      <c r="F26" s="229"/>
    </row>
    <row r="27" spans="1:6">
      <c r="A27" s="229"/>
      <c r="B27" s="229"/>
      <c r="C27" s="229"/>
      <c r="D27" s="229"/>
      <c r="E27" s="229"/>
      <c r="F27" s="229"/>
    </row>
    <row r="28" spans="1:6" ht="42.6" customHeight="1"/>
    <row r="29" spans="1:6">
      <c r="A29" s="229"/>
      <c r="B29" s="229"/>
      <c r="C29" s="229"/>
      <c r="D29" s="229"/>
      <c r="E29" s="229"/>
      <c r="F29" s="229"/>
    </row>
    <row r="30" spans="1:6">
      <c r="A30" s="229"/>
      <c r="B30" s="229"/>
      <c r="C30" s="229"/>
      <c r="D30" s="229"/>
      <c r="E30" s="229"/>
      <c r="F30" s="229"/>
    </row>
    <row r="31" spans="1:6">
      <c r="A31" s="229"/>
      <c r="B31" s="229"/>
      <c r="C31" s="229"/>
      <c r="D31" s="229"/>
      <c r="E31" s="229"/>
      <c r="F31" s="229"/>
    </row>
  </sheetData>
  <mergeCells count="10">
    <mergeCell ref="A1:F1"/>
    <mergeCell ref="A2:F2"/>
    <mergeCell ref="A11:F11"/>
    <mergeCell ref="A22:D22"/>
    <mergeCell ref="A25:F25"/>
    <mergeCell ref="A26:F26"/>
    <mergeCell ref="A27:F27"/>
    <mergeCell ref="A29:F29"/>
    <mergeCell ref="A30:F30"/>
    <mergeCell ref="A31:F31"/>
  </mergeCells>
  <printOptions horizontalCentered="1"/>
  <pageMargins left="0.31496062992125984" right="0.31496062992125984" top="0.43307086614173229" bottom="0.15748031496062992" header="0.35433070866141736" footer="0.31496062992125984"/>
  <pageSetup paperSize="9" scale="8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view="pageBreakPreview" topLeftCell="A11" zoomScaleNormal="60" workbookViewId="0">
      <selection activeCell="C14" sqref="C14"/>
    </sheetView>
  </sheetViews>
  <sheetFormatPr defaultColWidth="9" defaultRowHeight="24.6"/>
  <cols>
    <col min="1" max="1" width="8" style="26" customWidth="1"/>
    <col min="2" max="2" width="47.33203125" style="26" customWidth="1"/>
    <col min="3" max="3" width="14" style="26" customWidth="1"/>
    <col min="4" max="4" width="11.44140625" style="26" customWidth="1"/>
    <col min="5" max="5" width="15.6640625" style="26" customWidth="1"/>
    <col min="6" max="6" width="13.6640625" style="26" customWidth="1"/>
    <col min="7" max="16384" width="9" style="26"/>
  </cols>
  <sheetData>
    <row r="1" spans="1:6">
      <c r="A1" s="221" t="s">
        <v>258</v>
      </c>
      <c r="B1" s="221"/>
      <c r="C1" s="221"/>
      <c r="D1" s="221"/>
      <c r="E1" s="221"/>
      <c r="F1" s="221"/>
    </row>
    <row r="2" spans="1:6">
      <c r="A2" s="222" t="s">
        <v>259</v>
      </c>
      <c r="B2" s="222"/>
      <c r="C2" s="222"/>
      <c r="D2" s="222"/>
      <c r="E2" s="222"/>
      <c r="F2" s="222"/>
    </row>
    <row r="3" spans="1:6">
      <c r="A3" s="48" t="s">
        <v>252</v>
      </c>
      <c r="B3" s="48"/>
      <c r="C3" s="48"/>
      <c r="D3" s="48"/>
      <c r="E3" s="48"/>
      <c r="F3" s="48"/>
    </row>
    <row r="4" spans="1:6">
      <c r="A4" s="27" t="s">
        <v>355</v>
      </c>
      <c r="B4" s="27"/>
      <c r="C4" s="28"/>
      <c r="D4" s="28"/>
      <c r="E4" s="28"/>
      <c r="F4" s="28"/>
    </row>
    <row r="5" spans="1:6">
      <c r="A5" s="27"/>
      <c r="B5" s="27" t="s">
        <v>357</v>
      </c>
      <c r="C5" s="28"/>
      <c r="D5" s="28"/>
      <c r="E5" s="28"/>
      <c r="F5" s="28"/>
    </row>
    <row r="6" spans="1:6">
      <c r="A6" s="27" t="s">
        <v>5</v>
      </c>
      <c r="B6" s="27"/>
      <c r="C6" s="27"/>
      <c r="D6" s="27"/>
      <c r="E6" s="27"/>
      <c r="F6" s="27"/>
    </row>
    <row r="7" spans="1:6">
      <c r="A7" s="27" t="s">
        <v>6</v>
      </c>
      <c r="B7" s="27"/>
      <c r="C7" s="27"/>
      <c r="D7" s="27"/>
      <c r="E7" s="27"/>
      <c r="F7" s="27"/>
    </row>
    <row r="8" spans="1:6">
      <c r="A8" s="27" t="s">
        <v>352</v>
      </c>
      <c r="B8" s="27"/>
      <c r="C8" s="29"/>
      <c r="D8" s="27"/>
      <c r="E8" s="27"/>
      <c r="F8" s="27"/>
    </row>
    <row r="9" spans="1:6">
      <c r="A9" s="27" t="s">
        <v>353</v>
      </c>
      <c r="B9" s="27"/>
      <c r="C9" s="29" t="s">
        <v>9</v>
      </c>
      <c r="D9" s="29" t="s">
        <v>10</v>
      </c>
      <c r="E9" s="29" t="s">
        <v>11</v>
      </c>
      <c r="F9" s="27"/>
    </row>
    <row r="10" spans="1:6" ht="25.2" thickBot="1">
      <c r="A10" s="221" t="s">
        <v>12</v>
      </c>
      <c r="B10" s="221"/>
      <c r="C10" s="221"/>
      <c r="D10" s="221"/>
      <c r="E10" s="221"/>
      <c r="F10" s="221"/>
    </row>
    <row r="11" spans="1:6" s="52" customFormat="1" ht="45.75" customHeight="1" thickTop="1" thickBot="1">
      <c r="A11" s="49" t="s">
        <v>13</v>
      </c>
      <c r="B11" s="50" t="s">
        <v>14</v>
      </c>
      <c r="C11" s="50" t="s">
        <v>254</v>
      </c>
      <c r="D11" s="50" t="s">
        <v>260</v>
      </c>
      <c r="E11" s="51" t="s">
        <v>256</v>
      </c>
      <c r="F11" s="51" t="s">
        <v>20</v>
      </c>
    </row>
    <row r="12" spans="1:6" ht="25.2" thickTop="1">
      <c r="A12" s="53">
        <v>1</v>
      </c>
      <c r="B12" s="33" t="s">
        <v>24</v>
      </c>
      <c r="C12" s="200">
        <f>'ปร.4(ก)'!H14</f>
        <v>40000</v>
      </c>
      <c r="D12" s="188">
        <v>1.3049999999999999</v>
      </c>
      <c r="E12" s="190">
        <f>SUM(C12*D12)</f>
        <v>52200</v>
      </c>
      <c r="F12" s="189"/>
    </row>
    <row r="13" spans="1:6">
      <c r="A13" s="56">
        <v>2</v>
      </c>
      <c r="B13" s="35" t="str">
        <f>'ปร.4(ก)'!B15</f>
        <v>งานปรับปรุงห้องปฏิบัติการวิศวกรรมไฟฟ้า</v>
      </c>
      <c r="C13" s="190">
        <f>'ปร.4(ก)'!I81</f>
        <v>1655978.3</v>
      </c>
      <c r="D13" s="58">
        <v>1.3049999999999999</v>
      </c>
      <c r="E13" s="190">
        <f t="shared" ref="E13:E15" si="0">SUM(C13*D13)</f>
        <v>2161051.6814999999</v>
      </c>
      <c r="F13" s="59"/>
    </row>
    <row r="14" spans="1:6">
      <c r="A14" s="56">
        <v>3</v>
      </c>
      <c r="B14" s="35" t="s">
        <v>120</v>
      </c>
      <c r="C14" s="190">
        <f>'ปร.4(ก)'!I178</f>
        <v>337388.2378</v>
      </c>
      <c r="D14" s="58">
        <v>1.3049999999999999</v>
      </c>
      <c r="E14" s="190">
        <f>SUM(C14*D14)</f>
        <v>440291.65032899997</v>
      </c>
      <c r="F14" s="59"/>
    </row>
    <row r="15" spans="1:6">
      <c r="A15" s="56">
        <v>4</v>
      </c>
      <c r="B15" s="35" t="s">
        <v>228</v>
      </c>
      <c r="C15" s="190">
        <f>'ปร.4(ก)'!I200</f>
        <v>30000</v>
      </c>
      <c r="D15" s="58">
        <v>1.3049999999999999</v>
      </c>
      <c r="E15" s="190">
        <f t="shared" si="0"/>
        <v>39150</v>
      </c>
      <c r="F15" s="59"/>
    </row>
    <row r="16" spans="1:6">
      <c r="A16" s="56"/>
      <c r="B16" s="35"/>
      <c r="C16" s="190"/>
      <c r="D16" s="58"/>
      <c r="E16" s="190"/>
      <c r="F16" s="59"/>
    </row>
    <row r="17" spans="1:6">
      <c r="A17" s="56"/>
      <c r="B17" s="35"/>
      <c r="C17" s="57"/>
      <c r="D17" s="58"/>
      <c r="E17" s="57"/>
      <c r="F17" s="59"/>
    </row>
    <row r="18" spans="1:6">
      <c r="A18" s="56"/>
      <c r="B18" s="35"/>
      <c r="C18" s="57"/>
      <c r="D18" s="58"/>
      <c r="E18" s="57"/>
      <c r="F18" s="59"/>
    </row>
    <row r="19" spans="1:6">
      <c r="A19" s="56"/>
      <c r="B19" s="60"/>
      <c r="C19" s="57"/>
      <c r="D19" s="58"/>
      <c r="E19" s="57"/>
      <c r="F19" s="59"/>
    </row>
    <row r="20" spans="1:6">
      <c r="A20" s="34"/>
      <c r="B20" s="61" t="s">
        <v>261</v>
      </c>
      <c r="C20" s="35"/>
      <c r="D20" s="35"/>
      <c r="E20" s="35"/>
      <c r="F20" s="59"/>
    </row>
    <row r="21" spans="1:6">
      <c r="A21" s="34"/>
      <c r="B21" s="35" t="s">
        <v>262</v>
      </c>
      <c r="C21" s="35"/>
      <c r="D21" s="35"/>
      <c r="E21" s="35"/>
      <c r="F21" s="59"/>
    </row>
    <row r="22" spans="1:6">
      <c r="A22" s="34"/>
      <c r="B22" s="35" t="s">
        <v>263</v>
      </c>
      <c r="C22" s="35"/>
      <c r="D22" s="35"/>
      <c r="E22" s="35"/>
      <c r="F22" s="59"/>
    </row>
    <row r="23" spans="1:6">
      <c r="A23" s="34"/>
      <c r="B23" s="35" t="s">
        <v>264</v>
      </c>
      <c r="C23" s="35"/>
      <c r="D23" s="35"/>
      <c r="E23" s="35"/>
      <c r="F23" s="59"/>
    </row>
    <row r="24" spans="1:6">
      <c r="A24" s="38"/>
      <c r="B24" s="62" t="s">
        <v>265</v>
      </c>
      <c r="C24" s="62"/>
      <c r="D24" s="62"/>
      <c r="E24" s="62"/>
      <c r="F24" s="63"/>
    </row>
    <row r="25" spans="1:6">
      <c r="A25" s="230" t="s">
        <v>257</v>
      </c>
      <c r="B25" s="230"/>
      <c r="C25" s="230"/>
      <c r="D25" s="230"/>
      <c r="E25" s="218">
        <f>SUM(E12:E24)</f>
        <v>2692693.3318289998</v>
      </c>
    </row>
    <row r="26" spans="1:6" ht="12.75" customHeight="1"/>
    <row r="27" spans="1:6">
      <c r="A27" s="26" t="s">
        <v>266</v>
      </c>
      <c r="C27" s="64">
        <v>627</v>
      </c>
      <c r="D27" s="65" t="s">
        <v>267</v>
      </c>
      <c r="E27" s="64">
        <f>E25/C27</f>
        <v>4294.5667174306218</v>
      </c>
      <c r="F27" s="26" t="s">
        <v>268</v>
      </c>
    </row>
    <row r="28" spans="1:6" ht="14.4" customHeight="1"/>
    <row r="29" spans="1:6">
      <c r="A29" s="229"/>
      <c r="B29" s="229"/>
      <c r="C29" s="229"/>
      <c r="D29" s="229"/>
      <c r="E29" s="229"/>
      <c r="F29" s="229"/>
    </row>
    <row r="30" spans="1:6">
      <c r="A30" s="229"/>
      <c r="B30" s="229"/>
      <c r="C30" s="229"/>
      <c r="D30" s="229"/>
      <c r="E30" s="229"/>
      <c r="F30" s="229"/>
    </row>
    <row r="31" spans="1:6">
      <c r="A31" s="229"/>
      <c r="B31" s="229"/>
      <c r="C31" s="229"/>
      <c r="D31" s="229"/>
      <c r="E31" s="229"/>
      <c r="F31" s="229"/>
    </row>
    <row r="32" spans="1:6" ht="42.6" customHeight="1"/>
    <row r="33" spans="1:6">
      <c r="A33" s="229"/>
      <c r="B33" s="229"/>
      <c r="C33" s="229"/>
      <c r="D33" s="229"/>
      <c r="E33" s="229"/>
      <c r="F33" s="229"/>
    </row>
    <row r="34" spans="1:6">
      <c r="A34" s="229"/>
      <c r="B34" s="229"/>
      <c r="C34" s="229"/>
      <c r="D34" s="229"/>
      <c r="E34" s="229"/>
      <c r="F34" s="229"/>
    </row>
    <row r="35" spans="1:6">
      <c r="A35" s="229"/>
      <c r="B35" s="229"/>
      <c r="C35" s="229"/>
      <c r="D35" s="229"/>
      <c r="E35" s="229"/>
      <c r="F35" s="229"/>
    </row>
  </sheetData>
  <mergeCells count="10">
    <mergeCell ref="A1:F1"/>
    <mergeCell ref="A2:F2"/>
    <mergeCell ref="A10:F10"/>
    <mergeCell ref="A25:D25"/>
    <mergeCell ref="A29:F29"/>
    <mergeCell ref="A30:F30"/>
    <mergeCell ref="A31:F31"/>
    <mergeCell ref="A33:F33"/>
    <mergeCell ref="A34:F34"/>
    <mergeCell ref="A35:F35"/>
  </mergeCells>
  <printOptions horizontalCentered="1"/>
  <pageMargins left="0.31496062992126" right="0.31496062992126" top="0.44" bottom="0.15748031496063" header="0.31496062992126" footer="0.31496062992126"/>
  <pageSetup paperSize="9" scale="8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view="pageBreakPreview" topLeftCell="A7" zoomScaleNormal="100" zoomScaleSheetLayoutView="100" workbookViewId="0">
      <selection activeCell="J15" sqref="J15"/>
    </sheetView>
  </sheetViews>
  <sheetFormatPr defaultColWidth="9" defaultRowHeight="24.6"/>
  <cols>
    <col min="1" max="1" width="8.33203125" style="26" customWidth="1"/>
    <col min="2" max="2" width="45.88671875" style="26" customWidth="1"/>
    <col min="3" max="3" width="12.88671875" style="26" customWidth="1"/>
    <col min="4" max="4" width="7.88671875" style="26" customWidth="1"/>
    <col min="5" max="5" width="10.6640625" style="26" customWidth="1"/>
    <col min="6" max="6" width="10.33203125" style="26" customWidth="1"/>
    <col min="7" max="7" width="9" style="26"/>
    <col min="8" max="8" width="13.77734375" style="26" bestFit="1" customWidth="1"/>
    <col min="9" max="16384" width="9" style="26"/>
  </cols>
  <sheetData>
    <row r="1" spans="1:6">
      <c r="A1" s="221" t="s">
        <v>269</v>
      </c>
      <c r="B1" s="221"/>
      <c r="C1" s="221"/>
      <c r="D1" s="221"/>
      <c r="E1" s="221"/>
      <c r="F1" s="221"/>
    </row>
    <row r="2" spans="1:6" ht="27">
      <c r="A2" s="247" t="s">
        <v>270</v>
      </c>
      <c r="B2" s="247"/>
      <c r="C2" s="247"/>
      <c r="D2" s="247"/>
      <c r="E2" s="247"/>
      <c r="F2" s="247"/>
    </row>
    <row r="3" spans="1:6">
      <c r="A3" s="27" t="s">
        <v>354</v>
      </c>
      <c r="B3" s="27"/>
      <c r="C3" s="28"/>
      <c r="D3" s="28"/>
      <c r="E3" s="28"/>
      <c r="F3" s="28"/>
    </row>
    <row r="4" spans="1:6">
      <c r="A4" s="27"/>
      <c r="B4" s="27" t="s">
        <v>359</v>
      </c>
      <c r="C4" s="28"/>
      <c r="D4" s="28"/>
      <c r="E4" s="28"/>
      <c r="F4" s="28"/>
    </row>
    <row r="5" spans="1:6">
      <c r="A5" s="27" t="s">
        <v>4</v>
      </c>
      <c r="B5" s="27"/>
      <c r="C5" s="27"/>
      <c r="D5" s="27"/>
      <c r="E5" s="27"/>
      <c r="F5" s="27"/>
    </row>
    <row r="6" spans="1:6">
      <c r="A6" s="27" t="s">
        <v>5</v>
      </c>
      <c r="B6" s="27"/>
      <c r="C6" s="27"/>
      <c r="D6" s="27"/>
      <c r="E6" s="27"/>
      <c r="F6" s="27"/>
    </row>
    <row r="7" spans="1:6">
      <c r="A7" s="27" t="s">
        <v>271</v>
      </c>
      <c r="B7" s="27"/>
      <c r="C7" s="27"/>
      <c r="D7" s="27"/>
      <c r="E7" s="27"/>
      <c r="F7" s="27"/>
    </row>
    <row r="8" spans="1:6">
      <c r="A8" s="27" t="s">
        <v>272</v>
      </c>
      <c r="B8" s="27"/>
      <c r="C8" s="27"/>
      <c r="D8" s="27"/>
      <c r="E8" s="27"/>
      <c r="F8" s="27"/>
    </row>
    <row r="9" spans="1:6">
      <c r="A9" s="27" t="s">
        <v>360</v>
      </c>
      <c r="B9" s="27"/>
      <c r="C9" s="29" t="s">
        <v>9</v>
      </c>
      <c r="D9" s="29" t="s">
        <v>10</v>
      </c>
      <c r="E9" s="29" t="s">
        <v>11</v>
      </c>
      <c r="F9" s="27"/>
    </row>
    <row r="10" spans="1:6">
      <c r="A10" s="221" t="s">
        <v>12</v>
      </c>
      <c r="B10" s="221"/>
      <c r="C10" s="221"/>
      <c r="D10" s="221"/>
      <c r="E10" s="221"/>
      <c r="F10" s="221"/>
    </row>
    <row r="11" spans="1:6" s="32" customFormat="1" ht="44.25" customHeight="1">
      <c r="A11" s="30" t="s">
        <v>13</v>
      </c>
      <c r="B11" s="31" t="s">
        <v>14</v>
      </c>
      <c r="C11" s="248" t="s">
        <v>256</v>
      </c>
      <c r="D11" s="249"/>
      <c r="E11" s="248" t="s">
        <v>20</v>
      </c>
      <c r="F11" s="250"/>
    </row>
    <row r="12" spans="1:6">
      <c r="A12" s="53">
        <v>1</v>
      </c>
      <c r="B12" s="33" t="s">
        <v>257</v>
      </c>
      <c r="C12" s="238">
        <f>SUM('ปร.5 (ก)'!E25)</f>
        <v>2692693.3318289998</v>
      </c>
      <c r="D12" s="239"/>
      <c r="E12" s="240"/>
      <c r="F12" s="241"/>
    </row>
    <row r="13" spans="1:6">
      <c r="A13" s="56">
        <v>2</v>
      </c>
      <c r="B13" s="35" t="s">
        <v>273</v>
      </c>
      <c r="C13" s="243">
        <f>SUM('ปร.5 (ข)'!E13)</f>
        <v>1772999.9688333331</v>
      </c>
      <c r="D13" s="244"/>
      <c r="E13" s="245"/>
      <c r="F13" s="246"/>
    </row>
    <row r="14" spans="1:6">
      <c r="A14" s="34"/>
      <c r="B14" s="35"/>
      <c r="C14" s="243"/>
      <c r="D14" s="244"/>
      <c r="E14" s="245"/>
      <c r="F14" s="246"/>
    </row>
    <row r="15" spans="1:6">
      <c r="A15" s="34"/>
      <c r="B15" s="35"/>
      <c r="C15" s="243"/>
      <c r="D15" s="244"/>
      <c r="E15" s="245"/>
      <c r="F15" s="246"/>
    </row>
    <row r="16" spans="1:6">
      <c r="A16" s="34"/>
      <c r="B16" s="35"/>
      <c r="C16" s="219"/>
      <c r="D16" s="220"/>
      <c r="E16" s="36"/>
      <c r="F16" s="37"/>
    </row>
    <row r="17" spans="1:8">
      <c r="A17" s="34"/>
      <c r="B17" s="35"/>
      <c r="C17" s="219"/>
      <c r="D17" s="220"/>
      <c r="E17" s="36"/>
      <c r="F17" s="37"/>
    </row>
    <row r="18" spans="1:8">
      <c r="A18" s="34"/>
      <c r="B18" s="35"/>
      <c r="C18" s="243"/>
      <c r="D18" s="244"/>
      <c r="E18" s="245"/>
      <c r="F18" s="246"/>
    </row>
    <row r="19" spans="1:8">
      <c r="A19" s="34"/>
      <c r="B19" s="35"/>
      <c r="C19" s="243"/>
      <c r="D19" s="244"/>
      <c r="E19" s="245"/>
      <c r="F19" s="246"/>
    </row>
    <row r="20" spans="1:8">
      <c r="A20" s="38"/>
      <c r="B20" s="39"/>
      <c r="C20" s="234"/>
      <c r="D20" s="235"/>
      <c r="E20" s="236"/>
      <c r="F20" s="237"/>
    </row>
    <row r="21" spans="1:8">
      <c r="A21" s="231" t="s">
        <v>274</v>
      </c>
      <c r="B21" s="40" t="s">
        <v>275</v>
      </c>
      <c r="C21" s="238">
        <f>SUM(C12:D20)</f>
        <v>4465693.3006623331</v>
      </c>
      <c r="D21" s="239"/>
      <c r="E21" s="240"/>
      <c r="F21" s="241"/>
      <c r="H21" s="64">
        <v>4458000</v>
      </c>
    </row>
    <row r="22" spans="1:8">
      <c r="A22" s="232"/>
      <c r="B22" s="41" t="s">
        <v>358</v>
      </c>
      <c r="C22" s="234">
        <f>C21</f>
        <v>4465693.3006623331</v>
      </c>
      <c r="D22" s="235"/>
      <c r="E22" s="242"/>
      <c r="F22" s="237"/>
      <c r="H22" s="64">
        <f>+C22-H21</f>
        <v>7693.3006623331457</v>
      </c>
    </row>
    <row r="23" spans="1:8" ht="36" customHeight="1">
      <c r="A23" s="232"/>
      <c r="B23" s="42" t="str">
        <f>"("&amp;BAHTTEXT(C22)&amp;")"</f>
        <v>(สี่ล้านสี่แสนหกหมื่นห้าพันหกร้อยเก้าสิบสามบาทสามสิบสตางค์)</v>
      </c>
      <c r="F23" s="43"/>
    </row>
    <row r="24" spans="1:8" ht="12.75" customHeight="1">
      <c r="A24" s="233"/>
      <c r="B24" s="44"/>
      <c r="C24" s="45"/>
      <c r="D24" s="45"/>
      <c r="E24" s="45"/>
      <c r="F24" s="46"/>
    </row>
    <row r="26" spans="1:8">
      <c r="A26" s="229"/>
      <c r="B26" s="229"/>
      <c r="C26" s="229"/>
      <c r="D26" s="229"/>
      <c r="E26" s="229"/>
      <c r="F26" s="229"/>
    </row>
    <row r="27" spans="1:8">
      <c r="A27" s="229"/>
      <c r="B27" s="229"/>
      <c r="C27" s="229"/>
      <c r="D27" s="229"/>
      <c r="E27" s="229"/>
      <c r="F27" s="229"/>
    </row>
    <row r="28" spans="1:8">
      <c r="A28" s="229"/>
      <c r="B28" s="229"/>
      <c r="C28" s="229"/>
      <c r="D28" s="229"/>
      <c r="E28" s="229"/>
      <c r="F28" s="229"/>
    </row>
    <row r="29" spans="1:8" ht="42.6" customHeight="1"/>
    <row r="30" spans="1:8">
      <c r="A30" s="229"/>
      <c r="B30" s="229"/>
      <c r="C30" s="229"/>
      <c r="D30" s="229"/>
      <c r="E30" s="229"/>
      <c r="F30" s="229"/>
    </row>
    <row r="31" spans="1:8">
      <c r="A31" s="229"/>
      <c r="B31" s="229"/>
      <c r="C31" s="229"/>
      <c r="D31" s="229"/>
      <c r="E31" s="229"/>
      <c r="F31" s="229"/>
    </row>
    <row r="32" spans="1:8">
      <c r="A32" s="229"/>
      <c r="B32" s="229"/>
      <c r="C32" s="229"/>
      <c r="D32" s="229"/>
      <c r="E32" s="229"/>
      <c r="F32" s="229"/>
    </row>
    <row r="71" spans="1:10">
      <c r="A71" s="47"/>
      <c r="B71" s="47"/>
      <c r="C71" s="47"/>
      <c r="D71" s="47"/>
      <c r="E71" s="47"/>
      <c r="F71" s="47"/>
      <c r="G71" s="47"/>
      <c r="H71" s="47"/>
      <c r="I71" s="47"/>
      <c r="J71" s="47"/>
    </row>
  </sheetData>
  <mergeCells count="30">
    <mergeCell ref="A1:F1"/>
    <mergeCell ref="A2:F2"/>
    <mergeCell ref="A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A32:F32"/>
    <mergeCell ref="A21:A24"/>
    <mergeCell ref="A26:F26"/>
    <mergeCell ref="A27:F27"/>
    <mergeCell ref="A28:F28"/>
    <mergeCell ref="A30:F30"/>
    <mergeCell ref="A31:F31"/>
  </mergeCells>
  <printOptions horizontalCentered="1"/>
  <pageMargins left="0.31496062992126" right="0.31496062992126" top="0.55118110236220497" bottom="0.55118110236220497" header="0.31496062992126" footer="0.31496062992126"/>
  <pageSetup paperSize="9" scale="9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"/>
  <sheetViews>
    <sheetView workbookViewId="0">
      <selection activeCell="V17" sqref="V17"/>
    </sheetView>
  </sheetViews>
  <sheetFormatPr defaultColWidth="9" defaultRowHeight="14.4"/>
  <cols>
    <col min="5" max="5" width="4.88671875" customWidth="1"/>
    <col min="6" max="6" width="6.44140625" customWidth="1"/>
    <col min="7" max="8" width="4.109375" customWidth="1"/>
    <col min="9" max="9" width="7.5546875" customWidth="1"/>
    <col min="10" max="10" width="7" customWidth="1"/>
    <col min="11" max="12" width="3" customWidth="1"/>
    <col min="13" max="14" width="6" customWidth="1"/>
    <col min="15" max="15" width="6.88671875" customWidth="1"/>
    <col min="16" max="16" width="6" customWidth="1"/>
    <col min="18" max="18" width="6.109375" customWidth="1"/>
    <col min="22" max="22" width="17.109375" customWidth="1"/>
  </cols>
  <sheetData>
    <row r="1" spans="1:22" ht="23.4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1:22" ht="23.4">
      <c r="A2" s="16" t="s">
        <v>276</v>
      </c>
      <c r="B2" s="15" t="s">
        <v>277</v>
      </c>
      <c r="C2" s="15"/>
      <c r="D2" s="15"/>
      <c r="E2" s="263">
        <v>0</v>
      </c>
      <c r="F2" s="263"/>
      <c r="G2" s="15"/>
      <c r="H2" s="15"/>
      <c r="I2" s="15" t="s">
        <v>278</v>
      </c>
      <c r="J2" s="15"/>
      <c r="K2" s="15"/>
      <c r="L2" s="15"/>
      <c r="M2" s="15"/>
      <c r="N2" s="15"/>
      <c r="O2" s="17">
        <v>7.0000000000000007E-2</v>
      </c>
      <c r="P2" s="15" t="s">
        <v>279</v>
      </c>
      <c r="Q2" s="15"/>
      <c r="R2" s="15"/>
      <c r="S2" s="15"/>
      <c r="T2" s="15"/>
      <c r="U2" s="15"/>
      <c r="V2" s="15"/>
    </row>
    <row r="3" spans="1:22" ht="23.4">
      <c r="A3" s="15"/>
      <c r="B3" s="15" t="s">
        <v>280</v>
      </c>
      <c r="C3" s="15"/>
      <c r="D3" s="15"/>
      <c r="E3" s="263">
        <v>0</v>
      </c>
      <c r="F3" s="263"/>
      <c r="G3" s="15"/>
      <c r="H3" s="15"/>
      <c r="I3" s="15" t="s">
        <v>281</v>
      </c>
      <c r="J3" s="15"/>
      <c r="K3" s="15"/>
      <c r="L3" s="15"/>
      <c r="M3" s="15"/>
      <c r="N3" s="15"/>
      <c r="O3" s="17">
        <v>7.0000000000000007E-2</v>
      </c>
      <c r="P3" s="15"/>
      <c r="Q3" s="15"/>
      <c r="R3" s="15"/>
      <c r="S3" s="15"/>
      <c r="T3" s="15"/>
      <c r="U3" s="15"/>
      <c r="V3" s="15"/>
    </row>
    <row r="4" spans="1:22" ht="23.4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24"/>
    </row>
    <row r="5" spans="1:22" ht="23.4">
      <c r="A5" s="16" t="s">
        <v>282</v>
      </c>
      <c r="B5" s="15" t="s">
        <v>283</v>
      </c>
      <c r="C5" s="15"/>
      <c r="D5" s="15"/>
      <c r="E5" s="15"/>
      <c r="F5" s="15"/>
      <c r="G5" s="15"/>
      <c r="H5" s="18" t="s">
        <v>284</v>
      </c>
      <c r="I5" s="18" t="s">
        <v>285</v>
      </c>
      <c r="J5" s="15"/>
      <c r="K5" s="15"/>
      <c r="L5" s="18" t="s">
        <v>284</v>
      </c>
      <c r="M5" s="15"/>
      <c r="N5" s="264">
        <f>SUM('ปร.5 (ก)'!C12:C15)</f>
        <v>2063366.5378</v>
      </c>
      <c r="O5" s="264"/>
      <c r="P5" s="264"/>
      <c r="Q5" s="264"/>
      <c r="R5" s="15" t="s">
        <v>286</v>
      </c>
      <c r="S5" s="15"/>
      <c r="T5" s="15"/>
      <c r="U5" s="15"/>
      <c r="V5" s="15"/>
    </row>
    <row r="6" spans="1:22" ht="23.4">
      <c r="A6" s="15"/>
      <c r="B6" s="15" t="s">
        <v>287</v>
      </c>
      <c r="C6" s="15"/>
      <c r="D6" s="15"/>
      <c r="E6" s="15"/>
      <c r="F6" s="15"/>
      <c r="G6" s="15"/>
      <c r="H6" s="18" t="s">
        <v>284</v>
      </c>
      <c r="I6" s="18" t="s">
        <v>288</v>
      </c>
      <c r="J6" s="15"/>
      <c r="K6" s="15"/>
      <c r="L6" s="18" t="s">
        <v>284</v>
      </c>
      <c r="M6" s="15"/>
      <c r="N6" s="265">
        <v>2000000</v>
      </c>
      <c r="O6" s="265"/>
      <c r="P6" s="265"/>
      <c r="Q6" s="265"/>
      <c r="R6" s="15" t="s">
        <v>286</v>
      </c>
      <c r="S6" s="15"/>
      <c r="T6" s="15"/>
      <c r="U6" s="15"/>
      <c r="V6" s="15"/>
    </row>
    <row r="7" spans="1:22" ht="23.4">
      <c r="A7" s="15"/>
      <c r="B7" s="15" t="s">
        <v>289</v>
      </c>
      <c r="C7" s="15"/>
      <c r="D7" s="15"/>
      <c r="E7" s="15"/>
      <c r="F7" s="15"/>
      <c r="G7" s="15"/>
      <c r="H7" s="18" t="s">
        <v>284</v>
      </c>
      <c r="I7" s="18" t="s">
        <v>290</v>
      </c>
      <c r="J7" s="15"/>
      <c r="K7" s="15"/>
      <c r="L7" s="18" t="s">
        <v>284</v>
      </c>
      <c r="M7" s="15"/>
      <c r="N7" s="265">
        <v>5000000</v>
      </c>
      <c r="O7" s="265"/>
      <c r="P7" s="265"/>
      <c r="Q7" s="265"/>
      <c r="R7" s="15" t="s">
        <v>286</v>
      </c>
      <c r="S7" s="15"/>
      <c r="T7" s="15"/>
      <c r="U7" s="15"/>
      <c r="V7" s="15"/>
    </row>
    <row r="8" spans="1:22" ht="23.4">
      <c r="A8" s="15"/>
      <c r="B8" s="15" t="s">
        <v>291</v>
      </c>
      <c r="C8" s="15"/>
      <c r="D8" s="15"/>
      <c r="E8" s="15"/>
      <c r="F8" s="15"/>
      <c r="G8" s="15"/>
      <c r="H8" s="18" t="s">
        <v>284</v>
      </c>
      <c r="I8" s="18" t="s">
        <v>292</v>
      </c>
      <c r="J8" s="15"/>
      <c r="K8" s="15"/>
      <c r="L8" s="18" t="s">
        <v>284</v>
      </c>
      <c r="M8" s="15"/>
      <c r="N8" s="259">
        <v>1.3050999999999999</v>
      </c>
      <c r="O8" s="259"/>
      <c r="P8" s="259"/>
      <c r="Q8" s="259"/>
      <c r="R8" s="15"/>
      <c r="S8" s="15"/>
      <c r="T8" s="15"/>
      <c r="U8" s="15"/>
      <c r="V8" s="15"/>
    </row>
    <row r="9" spans="1:22" ht="23.4">
      <c r="A9" s="15"/>
      <c r="B9" s="15" t="s">
        <v>293</v>
      </c>
      <c r="C9" s="15"/>
      <c r="D9" s="15"/>
      <c r="E9" s="15"/>
      <c r="F9" s="15"/>
      <c r="G9" s="15"/>
      <c r="H9" s="18" t="s">
        <v>284</v>
      </c>
      <c r="I9" s="18" t="s">
        <v>294</v>
      </c>
      <c r="J9" s="15"/>
      <c r="K9" s="15"/>
      <c r="L9" s="18" t="s">
        <v>284</v>
      </c>
      <c r="M9" s="15"/>
      <c r="N9" s="259">
        <v>1.302</v>
      </c>
      <c r="O9" s="259"/>
      <c r="P9" s="259"/>
      <c r="Q9" s="259"/>
      <c r="R9" s="15"/>
      <c r="S9" s="15"/>
      <c r="T9" s="15"/>
      <c r="U9" s="15"/>
      <c r="V9" s="15"/>
    </row>
    <row r="10" spans="1:22" ht="23.4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</row>
    <row r="11" spans="1:22" ht="23.4">
      <c r="A11" s="255" t="s">
        <v>295</v>
      </c>
      <c r="B11" s="256" t="s">
        <v>296</v>
      </c>
      <c r="C11" s="257" t="s">
        <v>284</v>
      </c>
      <c r="D11" s="258" t="str">
        <f>N8&amp;"-"</f>
        <v>1.3051-</v>
      </c>
      <c r="E11" s="15"/>
      <c r="F11" s="260" t="str">
        <f>"("&amp;N8&amp;"-"&amp;N9&amp;")"</f>
        <v>(1.3051-1.302)</v>
      </c>
      <c r="G11" s="260"/>
      <c r="H11" s="260"/>
      <c r="I11" s="260"/>
      <c r="J11" s="19" t="s">
        <v>297</v>
      </c>
      <c r="K11" s="261" t="str">
        <f>"("&amp;TEXT(N5,"#,##0.00")&amp;"-"&amp;TEXT(N6,"#,##0.00")&amp;")"</f>
        <v>(2,063,366.54-2,000,000.00)</v>
      </c>
      <c r="L11" s="261"/>
      <c r="M11" s="261"/>
      <c r="N11" s="261"/>
      <c r="O11" s="261"/>
      <c r="P11" s="261"/>
      <c r="Q11" s="261"/>
      <c r="R11" s="15"/>
      <c r="S11" s="15"/>
      <c r="T11" s="15"/>
      <c r="U11" s="15"/>
      <c r="V11" s="15"/>
    </row>
    <row r="12" spans="1:22" ht="23.4">
      <c r="A12" s="255"/>
      <c r="B12" s="256"/>
      <c r="C12" s="257"/>
      <c r="D12" s="257"/>
      <c r="E12" s="15"/>
      <c r="F12" s="16"/>
      <c r="G12" s="16"/>
      <c r="H12" s="262" t="str">
        <f>"("&amp;TEXT(N7,"#,##0.00")&amp;"-"&amp;TEXT(N6,"#,##0.00")&amp;")"</f>
        <v>(5,000,000.00-2,000,000.00)</v>
      </c>
      <c r="I12" s="262"/>
      <c r="J12" s="262"/>
      <c r="K12" s="262"/>
      <c r="L12" s="262"/>
      <c r="M12" s="262"/>
      <c r="N12" s="262"/>
      <c r="O12" s="16"/>
      <c r="P12" s="16"/>
      <c r="Q12" s="16"/>
      <c r="R12" s="15"/>
      <c r="S12" s="15"/>
      <c r="T12" s="15"/>
      <c r="U12" s="15"/>
      <c r="V12" s="15"/>
    </row>
    <row r="13" spans="1:22" ht="23.4">
      <c r="A13" s="15"/>
      <c r="B13" s="15"/>
      <c r="C13" s="20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</row>
    <row r="14" spans="1:22" ht="23.4">
      <c r="A14" s="15"/>
      <c r="B14" s="16" t="s">
        <v>298</v>
      </c>
      <c r="C14" s="21" t="s">
        <v>284</v>
      </c>
      <c r="D14" s="22" t="str">
        <f>D11</f>
        <v>1.3051-</v>
      </c>
      <c r="E14" s="251">
        <f>(((N8-N9)*(N5-N6))/(N7-N6))</f>
        <v>6.5478755726664203E-5</v>
      </c>
      <c r="F14" s="251"/>
      <c r="G14" s="251"/>
      <c r="H14" s="251"/>
      <c r="I14" s="23"/>
      <c r="J14" s="23"/>
      <c r="K14" s="23"/>
      <c r="L14" s="15"/>
      <c r="M14" s="15"/>
      <c r="N14" s="252">
        <f>FLOOR(V14,0.0001)</f>
        <v>1.3050000000000002</v>
      </c>
      <c r="O14" s="253"/>
      <c r="P14" s="253"/>
      <c r="Q14" s="254"/>
      <c r="R14" s="15"/>
      <c r="S14" s="15"/>
      <c r="T14" s="15"/>
      <c r="U14" s="15"/>
      <c r="V14" s="25">
        <f>N8-E14</f>
        <v>1.3050345212442733</v>
      </c>
    </row>
  </sheetData>
  <mergeCells count="16">
    <mergeCell ref="E2:F2"/>
    <mergeCell ref="E3:F3"/>
    <mergeCell ref="N5:Q5"/>
    <mergeCell ref="N6:Q6"/>
    <mergeCell ref="N7:Q7"/>
    <mergeCell ref="N8:Q8"/>
    <mergeCell ref="N9:Q9"/>
    <mergeCell ref="F11:I11"/>
    <mergeCell ref="K11:Q11"/>
    <mergeCell ref="H12:N12"/>
    <mergeCell ref="E14:H14"/>
    <mergeCell ref="N14:Q14"/>
    <mergeCell ref="A11:A12"/>
    <mergeCell ref="B11:B12"/>
    <mergeCell ref="C11:C12"/>
    <mergeCell ref="D11:D12"/>
  </mergeCells>
  <pageMargins left="0.7" right="0.7" top="0.75" bottom="0.75" header="0.3" footer="0.3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topLeftCell="A40" workbookViewId="0">
      <selection activeCell="K66" sqref="K66"/>
    </sheetView>
  </sheetViews>
  <sheetFormatPr defaultColWidth="9" defaultRowHeight="14.4"/>
  <cols>
    <col min="2" max="2" width="24.5546875" customWidth="1"/>
    <col min="3" max="3" width="10.6640625" customWidth="1"/>
  </cols>
  <sheetData>
    <row r="1" spans="1:7">
      <c r="A1" t="s">
        <v>299</v>
      </c>
    </row>
    <row r="2" spans="1:7">
      <c r="A2" s="1"/>
      <c r="B2" s="2"/>
      <c r="C2" s="2" t="s">
        <v>300</v>
      </c>
      <c r="D2" s="2" t="s">
        <v>16</v>
      </c>
      <c r="E2" s="2" t="s">
        <v>301</v>
      </c>
      <c r="F2" s="2" t="s">
        <v>302</v>
      </c>
      <c r="G2" s="3" t="s">
        <v>16</v>
      </c>
    </row>
    <row r="3" spans="1:7">
      <c r="A3" s="4">
        <v>1</v>
      </c>
      <c r="B3" s="5" t="s">
        <v>303</v>
      </c>
      <c r="C3" s="5">
        <v>204</v>
      </c>
      <c r="D3" s="5" t="s">
        <v>39</v>
      </c>
      <c r="E3" s="5">
        <v>1</v>
      </c>
      <c r="F3" s="5">
        <f>SUM(C3*E3)</f>
        <v>204</v>
      </c>
      <c r="G3" s="6" t="s">
        <v>125</v>
      </c>
    </row>
    <row r="4" spans="1:7">
      <c r="A4" s="7"/>
      <c r="B4" s="8"/>
      <c r="C4" s="8"/>
      <c r="D4" s="8"/>
      <c r="E4" s="8"/>
      <c r="F4" s="8"/>
      <c r="G4" s="9"/>
    </row>
    <row r="6" spans="1:7">
      <c r="A6" s="1">
        <v>2</v>
      </c>
      <c r="B6" s="2" t="s">
        <v>304</v>
      </c>
      <c r="C6" s="2" t="s">
        <v>305</v>
      </c>
      <c r="D6" s="2" t="s">
        <v>300</v>
      </c>
      <c r="E6" s="2" t="s">
        <v>302</v>
      </c>
      <c r="F6" s="2" t="s">
        <v>16</v>
      </c>
      <c r="G6" s="3"/>
    </row>
    <row r="7" spans="1:7">
      <c r="A7" s="10"/>
      <c r="B7" t="s">
        <v>306</v>
      </c>
      <c r="C7">
        <f>SUM(1.2*1.2*1.45*1.15)</f>
        <v>2.4011999999999998</v>
      </c>
      <c r="D7">
        <v>8</v>
      </c>
      <c r="E7">
        <f>SUM(C7*D7)</f>
        <v>19.209599999999998</v>
      </c>
      <c r="F7" t="s">
        <v>125</v>
      </c>
      <c r="G7" s="11"/>
    </row>
    <row r="8" spans="1:7">
      <c r="A8" s="10"/>
      <c r="B8" t="s">
        <v>307</v>
      </c>
      <c r="C8">
        <f>SUM(C7-(1.2*1.2*0.3))-(0.2*0.2*1)</f>
        <v>1.9291999999999998</v>
      </c>
      <c r="D8">
        <v>8</v>
      </c>
      <c r="E8">
        <f>SUM(C8*D8)</f>
        <v>15.433599999999998</v>
      </c>
      <c r="F8" t="s">
        <v>125</v>
      </c>
      <c r="G8" s="11"/>
    </row>
    <row r="9" spans="1:7">
      <c r="A9" s="7"/>
      <c r="B9" s="8" t="s">
        <v>19</v>
      </c>
      <c r="C9" s="8"/>
      <c r="D9" s="8"/>
      <c r="E9" s="8">
        <f>SUM(E7:E8)</f>
        <v>34.643199999999993</v>
      </c>
      <c r="F9" s="8" t="s">
        <v>125</v>
      </c>
      <c r="G9" s="9"/>
    </row>
    <row r="11" spans="1:7">
      <c r="A11" s="12"/>
      <c r="B11" s="13"/>
      <c r="C11" s="2" t="s">
        <v>302</v>
      </c>
      <c r="D11" s="2" t="s">
        <v>16</v>
      </c>
      <c r="E11" s="2" t="s">
        <v>300</v>
      </c>
      <c r="F11" s="2" t="s">
        <v>302</v>
      </c>
      <c r="G11" s="3" t="s">
        <v>16</v>
      </c>
    </row>
    <row r="12" spans="1:7">
      <c r="A12" s="10"/>
      <c r="B12" t="s">
        <v>308</v>
      </c>
      <c r="C12">
        <f>SUM(1.2*1.2*0.1*1.3)</f>
        <v>0.18720000000000001</v>
      </c>
      <c r="D12" t="s">
        <v>125</v>
      </c>
      <c r="E12">
        <v>8</v>
      </c>
      <c r="F12">
        <f>SUM(C12*E12)</f>
        <v>1.4976</v>
      </c>
      <c r="G12" s="11" t="s">
        <v>125</v>
      </c>
    </row>
    <row r="13" spans="1:7">
      <c r="A13" s="10"/>
      <c r="B13" t="s">
        <v>309</v>
      </c>
      <c r="G13" s="11"/>
    </row>
    <row r="14" spans="1:7">
      <c r="A14" s="10"/>
      <c r="B14" t="s">
        <v>310</v>
      </c>
      <c r="C14">
        <f>SUM(0.1*104*1.3)</f>
        <v>13.520000000000001</v>
      </c>
      <c r="D14" t="s">
        <v>125</v>
      </c>
      <c r="F14">
        <f>SUM(C14)</f>
        <v>13.520000000000001</v>
      </c>
      <c r="G14" s="11"/>
    </row>
    <row r="15" spans="1:7">
      <c r="A15" s="7"/>
      <c r="B15" s="8" t="s">
        <v>311</v>
      </c>
      <c r="C15" s="8"/>
      <c r="D15" s="8"/>
      <c r="E15" s="8"/>
      <c r="F15" s="8">
        <f>SUM(F12:F14)</f>
        <v>15.017600000000002</v>
      </c>
      <c r="G15" s="9" t="s">
        <v>125</v>
      </c>
    </row>
    <row r="18" spans="1:7">
      <c r="A18" s="12"/>
      <c r="B18" s="13" t="s">
        <v>312</v>
      </c>
      <c r="C18" s="2" t="s">
        <v>302</v>
      </c>
      <c r="D18" s="2" t="s">
        <v>16</v>
      </c>
      <c r="E18" s="2" t="s">
        <v>300</v>
      </c>
      <c r="F18" s="2" t="s">
        <v>302</v>
      </c>
      <c r="G18" s="3" t="s">
        <v>16</v>
      </c>
    </row>
    <row r="19" spans="1:7">
      <c r="A19" s="7"/>
      <c r="B19" s="8" t="s">
        <v>313</v>
      </c>
      <c r="C19" s="8">
        <f>SUM(1.2*1.2*0.05*1.15)</f>
        <v>8.2799999999999985E-2</v>
      </c>
      <c r="D19" s="8" t="s">
        <v>125</v>
      </c>
      <c r="E19" s="8">
        <v>8</v>
      </c>
      <c r="F19" s="8">
        <f>SUM(C19*E19)</f>
        <v>0.66239999999999988</v>
      </c>
      <c r="G19" s="9" t="s">
        <v>125</v>
      </c>
    </row>
    <row r="21" spans="1:7">
      <c r="A21" s="12" t="s">
        <v>314</v>
      </c>
      <c r="B21" s="13"/>
      <c r="C21" s="13"/>
      <c r="D21" s="13"/>
      <c r="E21" s="13"/>
      <c r="F21" s="13"/>
      <c r="G21" s="14"/>
    </row>
    <row r="22" spans="1:7">
      <c r="A22" s="10"/>
      <c r="C22" t="s">
        <v>315</v>
      </c>
      <c r="D22" t="s">
        <v>300</v>
      </c>
      <c r="E22" t="s">
        <v>302</v>
      </c>
      <c r="F22" t="s">
        <v>16</v>
      </c>
      <c r="G22" s="11"/>
    </row>
    <row r="23" spans="1:7">
      <c r="A23" s="10" t="s">
        <v>316</v>
      </c>
      <c r="B23" t="s">
        <v>317</v>
      </c>
      <c r="C23">
        <f>SUM(1.2*1.2*0.3*1.15)</f>
        <v>0.49679999999999996</v>
      </c>
      <c r="D23">
        <v>8</v>
      </c>
      <c r="E23">
        <f>SUM(C23*D23)</f>
        <v>3.9743999999999997</v>
      </c>
      <c r="F23" t="s">
        <v>125</v>
      </c>
      <c r="G23" s="11"/>
    </row>
    <row r="24" spans="1:7">
      <c r="A24" s="10" t="s">
        <v>318</v>
      </c>
      <c r="B24" t="s">
        <v>319</v>
      </c>
      <c r="C24">
        <f>SUM(0.2*0.2*5*1.15)</f>
        <v>0.23000000000000004</v>
      </c>
      <c r="D24">
        <v>8</v>
      </c>
      <c r="E24">
        <f>SUM(C24*D24)</f>
        <v>1.8400000000000003</v>
      </c>
      <c r="F24" t="s">
        <v>125</v>
      </c>
      <c r="G24" s="11"/>
    </row>
    <row r="25" spans="1:7">
      <c r="A25" s="10" t="s">
        <v>320</v>
      </c>
      <c r="B25" t="s">
        <v>321</v>
      </c>
      <c r="C25">
        <f>SUM(0.15*0.4*1.15)</f>
        <v>6.8999999999999992E-2</v>
      </c>
      <c r="D25">
        <v>32</v>
      </c>
      <c r="E25">
        <f>SUM(C25*D25)</f>
        <v>2.2079999999999997</v>
      </c>
      <c r="F25" t="s">
        <v>125</v>
      </c>
      <c r="G25" s="11"/>
    </row>
    <row r="26" spans="1:7">
      <c r="A26" s="10" t="s">
        <v>322</v>
      </c>
      <c r="B26" t="s">
        <v>323</v>
      </c>
      <c r="C26">
        <f>SUM(0.1*1.15)</f>
        <v>0.11499999999999999</v>
      </c>
      <c r="D26">
        <v>104</v>
      </c>
      <c r="E26">
        <f>SUM(C26*D26)</f>
        <v>11.959999999999999</v>
      </c>
      <c r="F26" t="s">
        <v>125</v>
      </c>
      <c r="G26" s="11"/>
    </row>
    <row r="27" spans="1:7">
      <c r="A27" s="7"/>
      <c r="B27" s="8" t="s">
        <v>324</v>
      </c>
      <c r="C27" s="8"/>
      <c r="D27" s="8"/>
      <c r="E27" s="8">
        <f>SUM(E23:E26)</f>
        <v>19.982399999999998</v>
      </c>
      <c r="F27" s="8" t="s">
        <v>125</v>
      </c>
      <c r="G27" s="9"/>
    </row>
    <row r="29" spans="1:7">
      <c r="A29" s="12" t="s">
        <v>133</v>
      </c>
      <c r="B29" s="13"/>
      <c r="C29" s="13"/>
      <c r="D29" s="13"/>
      <c r="E29" s="13"/>
      <c r="F29" s="13"/>
      <c r="G29" s="14"/>
    </row>
    <row r="30" spans="1:7">
      <c r="A30" s="10"/>
      <c r="G30" s="11"/>
    </row>
    <row r="31" spans="1:7">
      <c r="A31" s="10" t="s">
        <v>325</v>
      </c>
      <c r="C31" t="s">
        <v>300</v>
      </c>
      <c r="D31" t="s">
        <v>16</v>
      </c>
      <c r="E31" t="s">
        <v>326</v>
      </c>
      <c r="F31" t="s">
        <v>327</v>
      </c>
      <c r="G31" s="11" t="s">
        <v>16</v>
      </c>
    </row>
    <row r="32" spans="1:7">
      <c r="A32" s="10" t="s">
        <v>320</v>
      </c>
      <c r="B32" t="s">
        <v>328</v>
      </c>
      <c r="C32">
        <f>SUM(D25/0.2)*0.9*1.15</f>
        <v>165.6</v>
      </c>
      <c r="D32" t="s">
        <v>90</v>
      </c>
      <c r="E32">
        <v>0.222</v>
      </c>
      <c r="F32">
        <f>SUM(C32*E32)</f>
        <v>36.763199999999998</v>
      </c>
      <c r="G32" s="11" t="s">
        <v>135</v>
      </c>
    </row>
    <row r="33" spans="1:7">
      <c r="A33" s="10" t="s">
        <v>318</v>
      </c>
      <c r="B33" t="s">
        <v>329</v>
      </c>
      <c r="C33">
        <f>SUM(40/0.15)*0.6*1.15</f>
        <v>184</v>
      </c>
      <c r="D33" t="s">
        <v>90</v>
      </c>
      <c r="E33">
        <v>0.222</v>
      </c>
      <c r="F33">
        <f>SUM(C33*E33)</f>
        <v>40.847999999999999</v>
      </c>
      <c r="G33" s="11" t="s">
        <v>135</v>
      </c>
    </row>
    <row r="34" spans="1:7">
      <c r="A34" s="10"/>
      <c r="B34" t="s">
        <v>330</v>
      </c>
      <c r="F34">
        <f>SUM(F32:F33)</f>
        <v>77.611199999999997</v>
      </c>
      <c r="G34" s="11" t="s">
        <v>135</v>
      </c>
    </row>
    <row r="35" spans="1:7">
      <c r="A35" s="10" t="s">
        <v>331</v>
      </c>
      <c r="G35" s="11"/>
    </row>
    <row r="36" spans="1:7">
      <c r="A36" s="10" t="s">
        <v>316</v>
      </c>
      <c r="B36" t="s">
        <v>332</v>
      </c>
      <c r="C36">
        <f>SUM(1.15*4*8*1.15)</f>
        <v>42.319999999999993</v>
      </c>
      <c r="D36" t="s">
        <v>90</v>
      </c>
      <c r="E36">
        <v>0.499</v>
      </c>
      <c r="F36">
        <f>SUM(C36*E36)</f>
        <v>21.117679999999996</v>
      </c>
      <c r="G36" s="11" t="s">
        <v>135</v>
      </c>
    </row>
    <row r="37" spans="1:7">
      <c r="A37" s="10"/>
      <c r="G37" s="11"/>
    </row>
    <row r="38" spans="1:7">
      <c r="A38" s="10" t="s">
        <v>333</v>
      </c>
      <c r="G38" s="11"/>
    </row>
    <row r="39" spans="1:7">
      <c r="A39" s="10" t="s">
        <v>316</v>
      </c>
      <c r="B39" t="s">
        <v>334</v>
      </c>
      <c r="C39">
        <f>SUM(1.7*14*8*1.15)</f>
        <v>218.95999999999998</v>
      </c>
      <c r="D39" t="s">
        <v>90</v>
      </c>
      <c r="E39">
        <v>0.88800000000000001</v>
      </c>
      <c r="F39">
        <f>SUM(C39*E39)</f>
        <v>194.43647999999999</v>
      </c>
      <c r="G39" s="11" t="s">
        <v>135</v>
      </c>
    </row>
    <row r="40" spans="1:7">
      <c r="A40" s="10" t="s">
        <v>320</v>
      </c>
      <c r="B40" t="s">
        <v>335</v>
      </c>
      <c r="C40">
        <f>SUM(32*5*1.2)</f>
        <v>192</v>
      </c>
      <c r="D40" t="s">
        <v>90</v>
      </c>
      <c r="E40">
        <v>0.88800000000000001</v>
      </c>
      <c r="F40">
        <f>SUM(C40*E40)</f>
        <v>170.49600000000001</v>
      </c>
      <c r="G40" s="11" t="s">
        <v>135</v>
      </c>
    </row>
    <row r="41" spans="1:7">
      <c r="A41" s="10" t="s">
        <v>318</v>
      </c>
      <c r="B41" t="s">
        <v>336</v>
      </c>
      <c r="C41">
        <f>SUM(40*4*1.2)</f>
        <v>192</v>
      </c>
      <c r="D41" t="s">
        <v>90</v>
      </c>
      <c r="E41">
        <v>0.88800000000000001</v>
      </c>
      <c r="F41">
        <f>SUM(C41*E41)</f>
        <v>170.49600000000001</v>
      </c>
      <c r="G41" s="11" t="s">
        <v>135</v>
      </c>
    </row>
    <row r="42" spans="1:7">
      <c r="A42" s="10"/>
      <c r="B42" t="s">
        <v>337</v>
      </c>
      <c r="F42">
        <f>SUM(F39:F41)</f>
        <v>535.42848000000004</v>
      </c>
      <c r="G42" s="11" t="s">
        <v>135</v>
      </c>
    </row>
    <row r="43" spans="1:7">
      <c r="A43" s="10" t="s">
        <v>338</v>
      </c>
      <c r="G43" s="11"/>
    </row>
    <row r="44" spans="1:7">
      <c r="A44" s="10" t="s">
        <v>322</v>
      </c>
      <c r="C44">
        <v>104</v>
      </c>
      <c r="D44" t="s">
        <v>39</v>
      </c>
      <c r="G44" s="11"/>
    </row>
    <row r="45" spans="1:7">
      <c r="A45" s="7"/>
      <c r="B45" s="8"/>
      <c r="C45" s="8"/>
      <c r="D45" s="8"/>
      <c r="E45" s="8"/>
      <c r="F45" s="8"/>
      <c r="G45" s="9"/>
    </row>
    <row r="47" spans="1:7">
      <c r="A47" t="s">
        <v>339</v>
      </c>
      <c r="C47" t="s">
        <v>300</v>
      </c>
      <c r="D47" t="s">
        <v>16</v>
      </c>
      <c r="F47" t="s">
        <v>340</v>
      </c>
    </row>
    <row r="48" spans="1:7">
      <c r="A48" t="s">
        <v>148</v>
      </c>
      <c r="B48" t="s">
        <v>341</v>
      </c>
      <c r="C48">
        <f>SUM(8*8)</f>
        <v>64</v>
      </c>
      <c r="D48" t="s">
        <v>39</v>
      </c>
      <c r="F48">
        <f>SUM(2.3*2.15)</f>
        <v>4.9449999999999994</v>
      </c>
    </row>
    <row r="49" spans="1:6">
      <c r="A49" t="s">
        <v>150</v>
      </c>
      <c r="B49" t="s">
        <v>342</v>
      </c>
      <c r="C49">
        <f>SUM(104-64)</f>
        <v>40</v>
      </c>
      <c r="D49" t="s">
        <v>39</v>
      </c>
    </row>
    <row r="51" spans="1:6">
      <c r="A51" t="s">
        <v>343</v>
      </c>
      <c r="C51" t="s">
        <v>300</v>
      </c>
      <c r="D51" t="s">
        <v>16</v>
      </c>
    </row>
    <row r="52" spans="1:6">
      <c r="A52" t="s">
        <v>152</v>
      </c>
      <c r="B52" t="s">
        <v>344</v>
      </c>
      <c r="C52">
        <f>SUM(12-3.38)*7</f>
        <v>60.34</v>
      </c>
      <c r="D52" t="s">
        <v>39</v>
      </c>
    </row>
    <row r="53" spans="1:6">
      <c r="B53" t="s">
        <v>345</v>
      </c>
      <c r="C53">
        <f>SUM(12-4.945)</f>
        <v>7.0549999999999997</v>
      </c>
      <c r="D53" t="s">
        <v>39</v>
      </c>
    </row>
    <row r="54" spans="1:6">
      <c r="B54" t="s">
        <v>19</v>
      </c>
      <c r="C54">
        <f>SUM(C52:C53)</f>
        <v>67.39500000000001</v>
      </c>
      <c r="D54" t="s">
        <v>39</v>
      </c>
    </row>
    <row r="55" spans="1:6">
      <c r="C55" t="s">
        <v>300</v>
      </c>
      <c r="D55" t="s">
        <v>16</v>
      </c>
    </row>
    <row r="56" spans="1:6">
      <c r="A56" t="s">
        <v>154</v>
      </c>
      <c r="B56" t="s">
        <v>346</v>
      </c>
      <c r="C56">
        <f>SUM(5.5*2)</f>
        <v>11</v>
      </c>
      <c r="D56" t="s">
        <v>39</v>
      </c>
    </row>
    <row r="57" spans="1:6">
      <c r="B57" t="s">
        <v>347</v>
      </c>
      <c r="C57">
        <f>SUM(12*2)</f>
        <v>24</v>
      </c>
      <c r="D57" t="s">
        <v>39</v>
      </c>
    </row>
    <row r="58" spans="1:6">
      <c r="B58" t="s">
        <v>19</v>
      </c>
      <c r="C58">
        <f>SUM(C56:C57)</f>
        <v>35</v>
      </c>
      <c r="D58" t="s">
        <v>39</v>
      </c>
    </row>
    <row r="60" spans="1:6">
      <c r="A60" t="s">
        <v>348</v>
      </c>
      <c r="B60" t="s">
        <v>349</v>
      </c>
      <c r="C60" t="s">
        <v>300</v>
      </c>
      <c r="D60" t="s">
        <v>16</v>
      </c>
      <c r="F60" t="s">
        <v>165</v>
      </c>
    </row>
    <row r="61" spans="1:6">
      <c r="B61" t="s">
        <v>350</v>
      </c>
      <c r="C61">
        <f>SUM(21+8+2+1.5+2.6+1.7+1.3)</f>
        <v>38.1</v>
      </c>
      <c r="D61" t="s">
        <v>174</v>
      </c>
      <c r="E61">
        <v>6</v>
      </c>
      <c r="F61">
        <f>SUM(C61/E61)</f>
        <v>6.3500000000000005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ปร.4(ก)</vt:lpstr>
      <vt:lpstr>ปร.4(ข)</vt:lpstr>
      <vt:lpstr>ปร.5 (ข)</vt:lpstr>
      <vt:lpstr>ปร.5 (ก)</vt:lpstr>
      <vt:lpstr>ปร.6</vt:lpstr>
      <vt:lpstr>factor f</vt:lpstr>
      <vt:lpstr>Backup_Sheet</vt:lpstr>
      <vt:lpstr>'ปร.4(ก)'!Print_Area</vt:lpstr>
      <vt:lpstr>'ปร.4(ข)'!Print_Area</vt:lpstr>
      <vt:lpstr>'ปร.5 (ข)'!Print_Area</vt:lpstr>
      <vt:lpstr>ปร.6!Print_Area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PC</cp:lastModifiedBy>
  <cp:lastPrinted>2024-03-28T07:31:17Z</cp:lastPrinted>
  <dcterms:created xsi:type="dcterms:W3CDTF">2012-07-11T01:02:00Z</dcterms:created>
  <dcterms:modified xsi:type="dcterms:W3CDTF">2024-03-28T09:35:24Z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58215FEAAE624B5DA44A1CF3609FC580_12</vt:lpwstr>
  </property>
  <property fmtid="{D5CDD505-2E9C-101B-9397-08002B2CF9AE}" pid="3" name="KSOProductBuildVer">
    <vt:lpwstr>1033-12.2.0.13518</vt:lpwstr>
  </property>
</Properties>
</file>