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กองพัสดุและทรัพย์สิน\โครงการจัดซื้อจัดจ้างภาครัฐ\โครงการปี 2568\ปรับปรุงถนนผิวจราจรลาดยางแอสฟัลท์ติกคอนกรีต หมู่ที่ 5 บ้านคุ้งวัง (e-bidding) ครั้งที่ 2\"/>
    </mc:Choice>
  </mc:AlternateContent>
  <xr:revisionPtr revIDLastSave="0" documentId="13_ncr:1_{FFD6BFE2-5D0B-4A32-97F9-AEF5F59DED5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externalReferences>
    <externalReference r:id="rId2"/>
  </externalReferences>
  <definedNames>
    <definedName name="_xlnm.Print_Titles" localSheetId="0">Sheet1!$1:$7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F27" i="1"/>
  <c r="H27" i="1" s="1"/>
  <c r="G27" i="1"/>
  <c r="A28" i="1"/>
  <c r="F28" i="1"/>
  <c r="B28" i="1" s="1"/>
  <c r="B9" i="1"/>
  <c r="F9" i="1"/>
  <c r="A9" i="1" s="1"/>
  <c r="F10" i="1"/>
  <c r="G10" i="1" s="1"/>
  <c r="F11" i="1"/>
  <c r="A11" i="1" s="1"/>
  <c r="M11" i="1"/>
  <c r="F12" i="1"/>
  <c r="B12" i="1" s="1"/>
  <c r="M12" i="1"/>
  <c r="F15" i="1"/>
  <c r="A15" i="1" s="1"/>
  <c r="B16" i="1"/>
  <c r="F16" i="1"/>
  <c r="G16" i="1" s="1"/>
  <c r="H16" i="1"/>
  <c r="J16" i="1" s="1"/>
  <c r="K16" i="1" s="1"/>
  <c r="F17" i="1"/>
  <c r="H17" i="1" s="1"/>
  <c r="J17" i="1" s="1"/>
  <c r="K17" i="1" s="1"/>
  <c r="F18" i="1"/>
  <c r="B18" i="1" s="1"/>
  <c r="D19" i="1"/>
  <c r="F19" i="1"/>
  <c r="G19" i="1" s="1"/>
  <c r="B20" i="1"/>
  <c r="F20" i="1"/>
  <c r="A20" i="1" s="1"/>
  <c r="I13" i="1"/>
  <c r="F25" i="1"/>
  <c r="G25" i="1" s="1"/>
  <c r="F24" i="1"/>
  <c r="M21" i="1"/>
  <c r="M26" i="1" l="1"/>
  <c r="J27" i="1"/>
  <c r="K27" i="1" s="1"/>
  <c r="H28" i="1"/>
  <c r="B27" i="1"/>
  <c r="G28" i="1"/>
  <c r="A27" i="1"/>
  <c r="G26" i="1"/>
  <c r="I27" i="1"/>
  <c r="L27" i="1" s="1"/>
  <c r="B14" i="1"/>
  <c r="A12" i="1"/>
  <c r="H12" i="1"/>
  <c r="J12" i="1" s="1"/>
  <c r="K12" i="1" s="1"/>
  <c r="G12" i="1"/>
  <c r="H11" i="1"/>
  <c r="B10" i="1"/>
  <c r="H9" i="1"/>
  <c r="A18" i="1"/>
  <c r="G11" i="1"/>
  <c r="A10" i="1"/>
  <c r="G9" i="1"/>
  <c r="H18" i="1"/>
  <c r="J18" i="1" s="1"/>
  <c r="K18" i="1" s="1"/>
  <c r="I17" i="1"/>
  <c r="L17" i="1" s="1"/>
  <c r="B11" i="1"/>
  <c r="H10" i="1"/>
  <c r="I10" i="1" s="1"/>
  <c r="G18" i="1"/>
  <c r="B17" i="1"/>
  <c r="H20" i="1"/>
  <c r="M17" i="1"/>
  <c r="G17" i="1"/>
  <c r="A16" i="1"/>
  <c r="H15" i="1"/>
  <c r="G20" i="1"/>
  <c r="B19" i="1"/>
  <c r="I16" i="1"/>
  <c r="L16" i="1" s="1"/>
  <c r="M15" i="1"/>
  <c r="G15" i="1"/>
  <c r="A19" i="1"/>
  <c r="H19" i="1"/>
  <c r="A17" i="1"/>
  <c r="B15" i="1"/>
  <c r="B24" i="1"/>
  <c r="G13" i="1"/>
  <c r="H25" i="1"/>
  <c r="B25" i="1"/>
  <c r="A25" i="1"/>
  <c r="G24" i="1"/>
  <c r="G22" i="1"/>
  <c r="M22" i="1"/>
  <c r="G8" i="1"/>
  <c r="M14" i="1"/>
  <c r="G14" i="1"/>
  <c r="J28" i="1" l="1"/>
  <c r="K28" i="1" s="1"/>
  <c r="I28" i="1"/>
  <c r="L28" i="1" s="1"/>
  <c r="I12" i="1"/>
  <c r="L12" i="1" s="1"/>
  <c r="I18" i="1"/>
  <c r="L18" i="1" s="1"/>
  <c r="J9" i="1"/>
  <c r="K9" i="1" s="1"/>
  <c r="I9" i="1"/>
  <c r="J10" i="1"/>
  <c r="L10" i="1" s="1"/>
  <c r="J11" i="1"/>
  <c r="K11" i="1" s="1"/>
  <c r="I11" i="1"/>
  <c r="J19" i="1"/>
  <c r="K19" i="1" s="1"/>
  <c r="J20" i="1"/>
  <c r="K20" i="1" s="1"/>
  <c r="I19" i="1"/>
  <c r="J15" i="1"/>
  <c r="K15" i="1" s="1"/>
  <c r="I15" i="1"/>
  <c r="I20" i="1"/>
  <c r="J25" i="1"/>
  <c r="I25" i="1"/>
  <c r="L11" i="1" l="1"/>
  <c r="L9" i="1"/>
  <c r="L20" i="1"/>
  <c r="L19" i="1"/>
  <c r="K10" i="1"/>
  <c r="L15" i="1"/>
  <c r="K25" i="1"/>
  <c r="L25" i="1"/>
  <c r="J13" i="1"/>
  <c r="I30" i="1"/>
  <c r="K13" i="1" l="1"/>
  <c r="L13" i="1"/>
</calcChain>
</file>

<file path=xl/sharedStrings.xml><?xml version="1.0" encoding="utf-8"?>
<sst xmlns="http://schemas.openxmlformats.org/spreadsheetml/2006/main" count="42" uniqueCount="29">
  <si>
    <t>องค์การบริหารส่วนจังหวัดพิษณุโลก</t>
  </si>
  <si>
    <t>ประมาณราคาเมื่อวันที่</t>
  </si>
  <si>
    <t>ที่</t>
  </si>
  <si>
    <t>รายการ</t>
  </si>
  <si>
    <t>จำนวน</t>
  </si>
  <si>
    <t>หน่วย</t>
  </si>
  <si>
    <t>ราคา/หน่วย</t>
  </si>
  <si>
    <t>ราคาทุน</t>
  </si>
  <si>
    <t>Factor F</t>
  </si>
  <si>
    <t>ราคากลาง</t>
  </si>
  <si>
    <t>หมายเหตุ</t>
  </si>
  <si>
    <t>X Factor F</t>
  </si>
  <si>
    <t>ตร.ม.</t>
  </si>
  <si>
    <t>กว้าง 0.10 ม.</t>
  </si>
  <si>
    <t>รวม</t>
  </si>
  <si>
    <t>งานปรับรื้อพื้นทางเดิมแล้วบดทับ</t>
  </si>
  <si>
    <t>งานรื้อผิวจราจร คสล. เดิม</t>
  </si>
  <si>
    <t xml:space="preserve">แบบฟอร์มรายงานหรือสรุปราคากลางงานก่อสร้างทาง สะพาน และท่อเหลี่ยม </t>
  </si>
  <si>
    <t>ประทับตรา (ถ้ามี)</t>
  </si>
  <si>
    <t xml:space="preserve">โครงการปรับปรุงถนนผิวจราจรลาดยางแบบแอสฟัลท์ติกคอนกรีต รหัสทางหลวงท้องถิ่น พล.ถ. ๘๖ - ๐๑๐ หมู่ที่ ๕ บ้านคุ้งวัง </t>
  </si>
  <si>
    <t>ตำบลวังน้ำคู้ อำเภอเมืองพิษณุโลก เชื่อมต่อ ตำบลท่าตาล อำเภอบางกระทุ่ม จังหวัดพิษณุโลก</t>
  </si>
  <si>
    <t>งาน PRIME COAT</t>
  </si>
  <si>
    <t>ผิวจราจรแบบ ASPHALTIC CONCRETE ปูปน PRIME COAT</t>
  </si>
  <si>
    <t>งานอุปกรณ์ควบคุมจราจร</t>
  </si>
  <si>
    <t>-</t>
  </si>
  <si>
    <t>ลงชื่อ............................................................ผู้เสนอราคา</t>
  </si>
  <si>
    <t>หนา 0.10 ม.</t>
  </si>
  <si>
    <t>หา 0.05 ม.</t>
  </si>
  <si>
    <t>(ตัวอักษร)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</si>
</sst>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0\+000"/>
    <numFmt numFmtId="188" formatCode="[$-107041E]d\ mmmm\ yyyy;@"/>
    <numFmt numFmtId="189" formatCode="_-* #,##0.0000_-;\-* #,##0.0000_-;_-* &quot;-&quot;??_-;_-@_-"/>
    <numFmt numFmtId="190" formatCode="_(* #,##0.00_);_(* \(#,##0.00\);_(* &quot;-&quot;??_);_(@_)"/>
    <numFmt numFmtId="191" formatCode="_-* #,##0.000_-;\-* #,##0.000_-;_-* &quot;-&quot;??_-;_-@_-"/>
  </numFmts>
  <fonts count="13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4"/>
      <name val="TH Sarabun New"/>
      <family val="2"/>
    </font>
    <font>
      <sz val="14"/>
      <color theme="1"/>
      <name val="Tahoma"/>
      <family val="2"/>
      <scheme val="minor"/>
    </font>
    <font>
      <sz val="14"/>
      <name val="TH Sarabun New"/>
      <family val="2"/>
    </font>
    <font>
      <b/>
      <sz val="14"/>
      <color rgb="FFFF0000"/>
      <name val="TH Sarabun New"/>
      <family val="2"/>
    </font>
    <font>
      <sz val="14"/>
      <color theme="0"/>
      <name val="TH Sarabun New"/>
      <family val="2"/>
    </font>
    <font>
      <sz val="14"/>
      <name val="TH SarabunPSK"/>
      <family val="2"/>
    </font>
    <font>
      <sz val="14"/>
      <color theme="0"/>
      <name val="TH SarabunPSK"/>
      <family val="2"/>
    </font>
    <font>
      <sz val="14"/>
      <color theme="1"/>
      <name val="TH SarabunIT๙"/>
      <family val="2"/>
    </font>
    <font>
      <b/>
      <sz val="18"/>
      <name val="TH Sarabun New"/>
      <family val="2"/>
    </font>
    <font>
      <sz val="18"/>
      <color theme="1"/>
      <name val="Tahoma"/>
      <family val="2"/>
      <scheme val="minor"/>
    </font>
    <font>
      <sz val="14"/>
      <color theme="1"/>
      <name val="TH Sarabun New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87" fontId="4" fillId="0" borderId="1" xfId="1" applyNumberFormat="1" applyFont="1" applyFill="1" applyBorder="1" applyAlignment="1">
      <alignment horizontal="center"/>
    </xf>
    <xf numFmtId="187" fontId="4" fillId="0" borderId="1" xfId="1" applyNumberFormat="1" applyFont="1" applyFill="1" applyBorder="1" applyAlignment="1">
      <alignment horizontal="center" shrinkToFit="1"/>
    </xf>
    <xf numFmtId="43" fontId="4" fillId="0" borderId="1" xfId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right" vertical="center"/>
    </xf>
    <xf numFmtId="188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43" fontId="4" fillId="0" borderId="11" xfId="1" applyFont="1" applyFill="1" applyBorder="1" applyAlignment="1">
      <alignment horizontal="right" vertical="center" shrinkToFit="1"/>
    </xf>
    <xf numFmtId="43" fontId="4" fillId="0" borderId="11" xfId="1" applyFont="1" applyFill="1" applyBorder="1" applyAlignment="1">
      <alignment horizontal="center" vertical="center" shrinkToFit="1"/>
    </xf>
    <xf numFmtId="43" fontId="4" fillId="0" borderId="9" xfId="1" applyFont="1" applyFill="1" applyBorder="1" applyAlignment="1">
      <alignment horizontal="right" vertical="center" shrinkToFit="1"/>
    </xf>
    <xf numFmtId="189" fontId="4" fillId="0" borderId="9" xfId="1" applyNumberFormat="1" applyFont="1" applyFill="1" applyBorder="1" applyAlignment="1">
      <alignment vertical="center" shrinkToFit="1"/>
    </xf>
    <xf numFmtId="43" fontId="4" fillId="0" borderId="9" xfId="1" applyFont="1" applyFill="1" applyBorder="1" applyAlignment="1">
      <alignment vertical="center" shrinkToFit="1"/>
    </xf>
    <xf numFmtId="0" fontId="4" fillId="0" borderId="9" xfId="0" applyFont="1" applyFill="1" applyBorder="1" applyAlignment="1">
      <alignment vertical="center" shrinkToFit="1"/>
    </xf>
    <xf numFmtId="0" fontId="4" fillId="0" borderId="11" xfId="0" applyFont="1" applyFill="1" applyBorder="1" applyAlignment="1">
      <alignment horizontal="center" vertical="center" shrinkToFit="1"/>
    </xf>
    <xf numFmtId="190" fontId="4" fillId="0" borderId="11" xfId="1" applyNumberFormat="1" applyFont="1" applyFill="1" applyBorder="1" applyAlignment="1">
      <alignment vertical="center" shrinkToFit="1"/>
    </xf>
    <xf numFmtId="43" fontId="4" fillId="0" borderId="9" xfId="1" applyFont="1" applyFill="1" applyBorder="1" applyAlignment="1">
      <alignment horizontal="center" vertical="center" shrinkToFit="1"/>
    </xf>
    <xf numFmtId="191" fontId="4" fillId="0" borderId="9" xfId="1" applyNumberFormat="1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 shrinkToFit="1"/>
    </xf>
    <xf numFmtId="0" fontId="4" fillId="0" borderId="11" xfId="0" applyFont="1" applyFill="1" applyBorder="1" applyAlignment="1">
      <alignment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43" fontId="4" fillId="0" borderId="13" xfId="1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189" fontId="4" fillId="0" borderId="13" xfId="1" applyNumberFormat="1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shrinkToFit="1"/>
    </xf>
    <xf numFmtId="43" fontId="4" fillId="0" borderId="17" xfId="1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2" fillId="0" borderId="4" xfId="0" applyFont="1" applyFill="1" applyBorder="1" applyAlignment="1">
      <alignment vertical="center" shrinkToFit="1"/>
    </xf>
    <xf numFmtId="0" fontId="7" fillId="0" borderId="0" xfId="0" applyFont="1" applyFill="1" applyAlignment="1">
      <alignment vertical="center"/>
    </xf>
    <xf numFmtId="43" fontId="8" fillId="0" borderId="0" xfId="0" applyNumberFormat="1" applyFont="1" applyFill="1" applyAlignment="1">
      <alignment vertical="center"/>
    </xf>
    <xf numFmtId="0" fontId="11" fillId="0" borderId="0" xfId="0" applyFont="1"/>
    <xf numFmtId="0" fontId="9" fillId="0" borderId="0" xfId="0" applyFont="1" applyAlignment="1">
      <alignment horizontal="center"/>
    </xf>
    <xf numFmtId="188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 shrinkToFit="1"/>
    </xf>
    <xf numFmtId="0" fontId="4" fillId="0" borderId="15" xfId="0" applyFont="1" applyFill="1" applyBorder="1" applyAlignment="1">
      <alignment horizontal="left" vertical="center" wrapText="1" shrinkToFit="1"/>
    </xf>
    <xf numFmtId="0" fontId="4" fillId="0" borderId="16" xfId="0" applyFont="1" applyFill="1" applyBorder="1" applyAlignment="1">
      <alignment horizontal="left" vertical="center" wrapText="1" shrinkToFi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 shrinkToFit="1"/>
    </xf>
    <xf numFmtId="0" fontId="2" fillId="0" borderId="10" xfId="0" applyFont="1" applyFill="1" applyBorder="1" applyAlignment="1">
      <alignment horizontal="left" vertical="center" wrapText="1" shrinkToFit="1"/>
    </xf>
    <xf numFmtId="0" fontId="2" fillId="0" borderId="11" xfId="0" applyFont="1" applyFill="1" applyBorder="1" applyAlignment="1">
      <alignment horizontal="left" vertical="center" wrapText="1" shrinkToFit="1"/>
    </xf>
    <xf numFmtId="43" fontId="4" fillId="0" borderId="11" xfId="1" applyFont="1" applyFill="1" applyBorder="1" applyAlignment="1">
      <alignment horizontal="center" shrinkToFit="1"/>
    </xf>
    <xf numFmtId="43" fontId="4" fillId="0" borderId="9" xfId="1" applyFont="1" applyFill="1" applyBorder="1" applyAlignment="1">
      <alignment horizontal="center" shrinkToFit="1"/>
    </xf>
    <xf numFmtId="189" fontId="4" fillId="0" borderId="9" xfId="1" applyNumberFormat="1" applyFont="1" applyFill="1" applyBorder="1" applyAlignment="1">
      <alignment horizontal="center" shrinkToFit="1"/>
    </xf>
    <xf numFmtId="43" fontId="4" fillId="0" borderId="13" xfId="1" applyFont="1" applyFill="1" applyBorder="1" applyAlignment="1">
      <alignment vertical="center" shrinkToFit="1"/>
    </xf>
    <xf numFmtId="0" fontId="4" fillId="0" borderId="13" xfId="0" applyFont="1" applyFill="1" applyBorder="1" applyAlignment="1">
      <alignment vertical="center" shrinkToFit="1"/>
    </xf>
    <xf numFmtId="43" fontId="4" fillId="0" borderId="21" xfId="1" applyFont="1" applyFill="1" applyBorder="1" applyAlignment="1">
      <alignment vertical="center" shrinkToFit="1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43" fontId="4" fillId="0" borderId="18" xfId="1" applyFont="1" applyFill="1" applyBorder="1" applyAlignment="1">
      <alignment horizontal="left" vertical="center" shrinkToFit="1"/>
    </xf>
    <xf numFmtId="43" fontId="6" fillId="0" borderId="18" xfId="1" applyFont="1" applyFill="1" applyBorder="1" applyAlignment="1">
      <alignment horizontal="left" vertical="center" shrinkToFit="1"/>
    </xf>
    <xf numFmtId="43" fontId="2" fillId="0" borderId="0" xfId="1" applyFont="1" applyFill="1" applyBorder="1" applyAlignment="1">
      <alignment vertical="center" shrinkToFit="1"/>
    </xf>
    <xf numFmtId="43" fontId="2" fillId="0" borderId="23" xfId="1" applyFont="1" applyFill="1" applyBorder="1" applyAlignment="1">
      <alignment vertical="center" shrinkToFit="1"/>
    </xf>
    <xf numFmtId="43" fontId="2" fillId="0" borderId="22" xfId="1" applyFont="1" applyFill="1" applyBorder="1" applyAlignment="1">
      <alignment vertical="center" shrinkToFit="1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872575</xdr:colOff>
      <xdr:row>0</xdr:row>
      <xdr:rowOff>0</xdr:rowOff>
    </xdr:from>
    <xdr:ext cx="184731" cy="324191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36B8F376-34D1-4559-BE7B-63413DAA7545}"/>
            </a:ext>
          </a:extLst>
        </xdr:cNvPr>
        <xdr:cNvSpPr txBox="1"/>
      </xdr:nvSpPr>
      <xdr:spPr>
        <a:xfrm>
          <a:off x="9142516" y="0"/>
          <a:ext cx="184731" cy="3241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6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8abcd1cbc5e11ef6/&#3648;&#3604;&#3626;&#3585;&#3660;&#3607;&#3655;&#3629;&#3611;/&#3623;&#3633;&#3604;&#3611;&#3656;&#3634;&#3626;&#3633;&#3585;%20&#3619;&#3623;&#361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ชุดข้อมูลช่าง"/>
      <sheetName val="วิธีคำนวณวัสดุ"/>
      <sheetName val="เมนูหลัก"/>
      <sheetName val="เมนู"/>
      <sheetName val="ใส่ข้อมูลทั้งหมด"/>
      <sheetName val="ตัวแปรสภาพผิวทางและค่าAC"/>
      <sheetName val="ตารางตรวจสอบความหนาหินคลุก"/>
      <sheetName val="ตารางดินตัดดินถม"/>
      <sheetName val="FACTORF"/>
      <sheetName val="ข้อมูลโครงการ"/>
      <sheetName val="ขนส่งวัสดุใช้"/>
      <sheetName val="ค่าเสื่อมราคา"/>
      <sheetName val="ข้อมูลโครงสร้างทาง"/>
      <sheetName val="ข้อมูลสะพาน1"/>
      <sheetName val="ปร.5ทช"/>
      <sheetName val="ปร.4"/>
      <sheetName val="ปร.5ทช (2)"/>
      <sheetName val="ปร.4_1"/>
      <sheetName val="ปร.4_1 (2)"/>
      <sheetName val="ปร.5 ประมาณราคา"/>
      <sheetName val="ปร.4 ประมาณการ"/>
      <sheetName val="ราคาต่อหน่วย"/>
      <sheetName val="ตารางถอดแบบHWและรางน้ำ"/>
      <sheetName val="รายการประมาณราคาต่อหน่วย"/>
      <sheetName val="ปร.4 ประมาณราคา ใหม่"/>
      <sheetName val="ปร.5 ประมาณการ"/>
      <sheetName val="ใบเสนอราคา"/>
      <sheetName val="ปร.4 ราคากลาง ใหม่"/>
      <sheetName val="ปร.5 ราคากลาง"/>
      <sheetName val="ปร.4_2"/>
      <sheetName val="แหล่งวัสดุ"/>
      <sheetName val="ปร.4สะพาน1"/>
      <sheetName val="ป้ายจราจร"/>
      <sheetName val="ราคาต่อหน่วยสะพานท่อเหลี่ยม"/>
      <sheetName val="ค่างานต้นทุนสะพาน1"/>
      <sheetName val="ข้อมูลประกอบการประมาณราคา"/>
      <sheetName val="SingleBox 1"/>
      <sheetName val="SingleBox 2"/>
      <sheetName val="Multi_Box 1"/>
      <sheetName val="Multi_Box 2"/>
      <sheetName val="ข้อมูลคำนวณ1"/>
      <sheetName val="approach"/>
      <sheetName val="ข้อมูล_Box"/>
      <sheetName val="งานดิน_1"/>
      <sheetName val="DATA1_2"/>
      <sheetName val="DATA1_3"/>
      <sheetName val="งานดิน_2"/>
      <sheetName val="Widening"/>
      <sheetName val="DATA2"/>
      <sheetName val="ป้าย"/>
      <sheetName val="DATA3"/>
      <sheetName val="DATA1_4"/>
      <sheetName val="DATA7"/>
      <sheetName val="หลักเกณฑ์คำนวณวันและงวดงาน"/>
      <sheetName val="ภาคผนวก 2"/>
      <sheetName val="ภาคผนวก 3"/>
      <sheetName val="ภาคผนวก 4"/>
      <sheetName val="ราคาต่อหน่วยที่ฝ่ายสำรวจฯ กำหนด"/>
    </sheetNames>
    <sheetDataSet>
      <sheetData sheetId="0" refreshError="1"/>
      <sheetData sheetId="1" refreshError="1">
        <row r="6">
          <cell r="D6">
            <v>0.05</v>
          </cell>
        </row>
        <row r="10">
          <cell r="D10">
            <v>0</v>
          </cell>
        </row>
        <row r="13">
          <cell r="N13">
            <v>0</v>
          </cell>
          <cell r="Y13" t="str">
            <v>P</v>
          </cell>
        </row>
        <row r="14">
          <cell r="N14">
            <v>0</v>
          </cell>
        </row>
        <row r="15">
          <cell r="N15">
            <v>0</v>
          </cell>
        </row>
        <row r="17">
          <cell r="D17">
            <v>0</v>
          </cell>
          <cell r="N17">
            <v>0</v>
          </cell>
        </row>
        <row r="22">
          <cell r="N22">
            <v>299</v>
          </cell>
        </row>
      </sheetData>
      <sheetData sheetId="2" refreshError="1">
        <row r="5">
          <cell r="D5" t="str">
            <v>ก่อสร้างถนนผิวจราจรคอนกรีตเสริมเหล็ก</v>
          </cell>
        </row>
        <row r="23">
          <cell r="AC23" t="str">
            <v>คอนกรีตเสริมเหล็ก</v>
          </cell>
        </row>
        <row r="31">
          <cell r="A31">
            <v>4</v>
          </cell>
        </row>
        <row r="33">
          <cell r="O33">
            <v>1</v>
          </cell>
        </row>
        <row r="34">
          <cell r="O34">
            <v>0</v>
          </cell>
        </row>
        <row r="39">
          <cell r="O39">
            <v>0</v>
          </cell>
        </row>
        <row r="40">
          <cell r="O40">
            <v>0</v>
          </cell>
        </row>
        <row r="41">
          <cell r="O41">
            <v>10</v>
          </cell>
        </row>
        <row r="46">
          <cell r="E46">
            <v>20</v>
          </cell>
        </row>
        <row r="59">
          <cell r="E59">
            <v>0</v>
          </cell>
        </row>
        <row r="60">
          <cell r="E60">
            <v>20</v>
          </cell>
        </row>
        <row r="61">
          <cell r="E61">
            <v>0</v>
          </cell>
        </row>
        <row r="65">
          <cell r="E65">
            <v>3</v>
          </cell>
        </row>
        <row r="74">
          <cell r="E74">
            <v>0</v>
          </cell>
        </row>
        <row r="75">
          <cell r="E75">
            <v>0</v>
          </cell>
        </row>
        <row r="76">
          <cell r="E76">
            <v>0</v>
          </cell>
        </row>
        <row r="77">
          <cell r="E77">
            <v>0</v>
          </cell>
        </row>
        <row r="78">
          <cell r="E78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2">
          <cell r="C22">
            <v>1.3605</v>
          </cell>
        </row>
        <row r="50">
          <cell r="C50">
            <v>1.3605</v>
          </cell>
        </row>
      </sheetData>
      <sheetData sheetId="9" refreshError="1">
        <row r="22">
          <cell r="AB22">
            <v>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5">
          <cell r="P65">
            <v>0</v>
          </cell>
        </row>
        <row r="102">
          <cell r="Q102">
            <v>39.69</v>
          </cell>
        </row>
        <row r="115">
          <cell r="P115">
            <v>45.94</v>
          </cell>
        </row>
        <row r="124">
          <cell r="Q124">
            <v>100.45</v>
          </cell>
        </row>
        <row r="172">
          <cell r="Q172">
            <v>666.14</v>
          </cell>
        </row>
        <row r="192">
          <cell r="P192" t="e">
            <v>#DIV/0!</v>
          </cell>
        </row>
        <row r="212">
          <cell r="P212">
            <v>0</v>
          </cell>
        </row>
        <row r="234">
          <cell r="O234">
            <v>0</v>
          </cell>
        </row>
        <row r="241">
          <cell r="O241">
            <v>28.81</v>
          </cell>
        </row>
        <row r="255">
          <cell r="O255">
            <v>30.45</v>
          </cell>
        </row>
        <row r="261">
          <cell r="O261">
            <v>11.53</v>
          </cell>
        </row>
        <row r="299">
          <cell r="O299">
            <v>51.93</v>
          </cell>
        </row>
        <row r="308">
          <cell r="O308">
            <v>10.83</v>
          </cell>
        </row>
        <row r="1220">
          <cell r="O1220" t="str">
            <v>7.20</v>
          </cell>
        </row>
        <row r="1226">
          <cell r="O1226">
            <v>420</v>
          </cell>
        </row>
        <row r="1238">
          <cell r="O1238">
            <v>1260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>
        <row r="29">
          <cell r="M29">
            <v>1820</v>
          </cell>
        </row>
        <row r="32">
          <cell r="M32">
            <v>4950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="120" zoomScaleNormal="120" workbookViewId="0">
      <selection activeCell="P31" sqref="P31"/>
    </sheetView>
  </sheetViews>
  <sheetFormatPr defaultRowHeight="18" x14ac:dyDescent="0.25"/>
  <cols>
    <col min="1" max="1" width="5.625" style="1" customWidth="1"/>
    <col min="2" max="4" width="9" style="1"/>
    <col min="5" max="5" width="17.75" style="1" customWidth="1"/>
    <col min="6" max="8" width="9" style="1"/>
    <col min="9" max="9" width="14.375" style="1" customWidth="1"/>
    <col min="10" max="10" width="8.875" style="1" customWidth="1"/>
    <col min="11" max="11" width="12.625" style="1" customWidth="1"/>
    <col min="12" max="12" width="15.125" style="1" customWidth="1"/>
    <col min="13" max="13" width="10.5" style="1" hidden="1" customWidth="1"/>
    <col min="14" max="16384" width="9" style="1"/>
  </cols>
  <sheetData>
    <row r="1" spans="1:14" s="40" customFormat="1" ht="36" customHeight="1" x14ac:dyDescent="0.3">
      <c r="A1" s="44" t="s">
        <v>17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4" ht="21.75" x14ac:dyDescent="0.25">
      <c r="A2" s="45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4" ht="22.5" customHeight="1" x14ac:dyDescent="0.25">
      <c r="A3" s="43" t="s">
        <v>20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ht="30" customHeight="1" x14ac:dyDescent="0.25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4" ht="21.75" hidden="1" x14ac:dyDescent="0.5">
      <c r="A5" s="2"/>
      <c r="B5" s="3" t="s">
        <v>1</v>
      </c>
      <c r="C5" s="2"/>
      <c r="D5" s="4"/>
      <c r="E5" s="42"/>
      <c r="F5" s="42"/>
      <c r="G5" s="5"/>
      <c r="H5" s="5"/>
      <c r="I5" s="6"/>
      <c r="J5" s="7"/>
      <c r="K5" s="8"/>
      <c r="L5" s="9"/>
      <c r="M5" s="9"/>
    </row>
    <row r="6" spans="1:14" ht="21.75" x14ac:dyDescent="0.25">
      <c r="A6" s="46" t="s">
        <v>2</v>
      </c>
      <c r="B6" s="51" t="s">
        <v>3</v>
      </c>
      <c r="C6" s="52"/>
      <c r="D6" s="52"/>
      <c r="E6" s="53"/>
      <c r="F6" s="46" t="s">
        <v>4</v>
      </c>
      <c r="G6" s="46" t="s">
        <v>5</v>
      </c>
      <c r="H6" s="46" t="s">
        <v>6</v>
      </c>
      <c r="I6" s="46" t="s">
        <v>7</v>
      </c>
      <c r="J6" s="46" t="s">
        <v>8</v>
      </c>
      <c r="K6" s="10" t="s">
        <v>6</v>
      </c>
      <c r="L6" s="46" t="s">
        <v>9</v>
      </c>
      <c r="M6" s="46" t="s">
        <v>10</v>
      </c>
      <c r="N6" s="66" t="s">
        <v>10</v>
      </c>
    </row>
    <row r="7" spans="1:14" ht="30" customHeight="1" x14ac:dyDescent="0.25">
      <c r="A7" s="47"/>
      <c r="B7" s="54"/>
      <c r="C7" s="55"/>
      <c r="D7" s="55"/>
      <c r="E7" s="56"/>
      <c r="F7" s="47"/>
      <c r="G7" s="47"/>
      <c r="H7" s="47"/>
      <c r="I7" s="47"/>
      <c r="J7" s="47"/>
      <c r="K7" s="11" t="s">
        <v>11</v>
      </c>
      <c r="L7" s="47"/>
      <c r="M7" s="47"/>
      <c r="N7" s="67"/>
    </row>
    <row r="8" spans="1:14" ht="21.75" x14ac:dyDescent="0.5">
      <c r="A8" s="12">
        <v>1</v>
      </c>
      <c r="B8" s="13" t="s">
        <v>15</v>
      </c>
      <c r="C8" s="13"/>
      <c r="D8" s="13"/>
      <c r="E8" s="14"/>
      <c r="F8" s="15">
        <v>1290</v>
      </c>
      <c r="G8" s="16" t="str">
        <f>IF(F8&gt;0,"ตร.ม.",0)</f>
        <v>ตร.ม.</v>
      </c>
      <c r="H8" s="15"/>
      <c r="I8" s="17"/>
      <c r="J8" s="18"/>
      <c r="K8" s="19"/>
      <c r="L8" s="19"/>
      <c r="M8" s="20"/>
      <c r="N8" s="68" t="s">
        <v>24</v>
      </c>
    </row>
    <row r="9" spans="1:14" ht="21.75" hidden="1" x14ac:dyDescent="0.5">
      <c r="A9" s="12" t="str">
        <f>IF(F9=0,"-",SUM($P$8:P9))</f>
        <v>-</v>
      </c>
      <c r="B9" s="13" t="str">
        <f>IF([1]ข้อมูลโครงการ!$AB$22=4,"งานรื้อผิวจราจร คสล. เดิม","               -")</f>
        <v xml:space="preserve">               -</v>
      </c>
      <c r="C9" s="13"/>
      <c r="D9" s="13"/>
      <c r="E9" s="14"/>
      <c r="F9" s="16">
        <f>ROUNDDOWN([1]วิธีคำนวณวัสดุ!$D$17,0)</f>
        <v>0</v>
      </c>
      <c r="G9" s="21" t="str">
        <f>IF(F9=0,"-","ตร.ม.")</f>
        <v>-</v>
      </c>
      <c r="H9" s="22">
        <f>IF(F9=0,0,IF([1]ข้อมูลโครงการ!$AB$22=4,[1]ราคาต่อหน่วย!$P$65))</f>
        <v>0</v>
      </c>
      <c r="I9" s="19">
        <f t="shared" ref="I9:I21" si="0">ROUND(F9*H9,2)</f>
        <v>0</v>
      </c>
      <c r="J9" s="18">
        <f>IF(H9&lt;=0,0,IF($F$29&lt;=500000,[1]FACTORF!$C$22,[1]FACTORF!$C$50))</f>
        <v>0</v>
      </c>
      <c r="K9" s="19">
        <f t="shared" ref="K9:K22" si="1">ROUND(H9*J9,2)</f>
        <v>0</v>
      </c>
      <c r="L9" s="19">
        <f t="shared" ref="L9:L28" si="2">ROUND(I9*J9,2)</f>
        <v>0</v>
      </c>
      <c r="M9" s="23"/>
      <c r="N9" s="69"/>
    </row>
    <row r="10" spans="1:14" ht="21.75" hidden="1" x14ac:dyDescent="0.5">
      <c r="A10" s="12" t="str">
        <f>IF(F10=0,"-",SUM($P$8:P10))</f>
        <v>-</v>
      </c>
      <c r="B10" s="13" t="str">
        <f>IF(F10=0,"               -","งานดินตัด")</f>
        <v xml:space="preserve">               -</v>
      </c>
      <c r="C10" s="13"/>
      <c r="D10" s="13"/>
      <c r="E10" s="14"/>
      <c r="F10" s="16">
        <f>ROUNDDOWN([1]เมนูหลัก!E77,0)</f>
        <v>0</v>
      </c>
      <c r="G10" s="21" t="str">
        <f>IF(F10=0,"-","ลบ.ม.")</f>
        <v>-</v>
      </c>
      <c r="H10" s="22">
        <f>IF(F10=0,0,ROUND([1]ราคาต่อหน่วย!Q102,2))</f>
        <v>0</v>
      </c>
      <c r="I10" s="19">
        <f t="shared" si="0"/>
        <v>0</v>
      </c>
      <c r="J10" s="18">
        <f>IF(H10&lt;=0,0,IF($F$29&lt;=500000,[1]FACTORF!$C$22,[1]FACTORF!$C$50))</f>
        <v>0</v>
      </c>
      <c r="K10" s="19">
        <f t="shared" si="1"/>
        <v>0</v>
      </c>
      <c r="L10" s="19">
        <f t="shared" si="2"/>
        <v>0</v>
      </c>
      <c r="M10" s="20"/>
      <c r="N10" s="69"/>
    </row>
    <row r="11" spans="1:14" ht="21.75" hidden="1" x14ac:dyDescent="0.5">
      <c r="A11" s="12" t="str">
        <f>IF(F11=0,"-",SUM($P$8:P11))</f>
        <v>-</v>
      </c>
      <c r="B11" s="13" t="str">
        <f>IF(F11=0,"               -","งานดินถม (วัสดุจากงานดินตัด)")</f>
        <v xml:space="preserve">               -</v>
      </c>
      <c r="C11" s="13"/>
      <c r="D11" s="13"/>
      <c r="E11" s="14"/>
      <c r="F11" s="16">
        <f>IF([1]เมนูหลัก!E75&gt;0,ROUNDDOWN([1]เมนูหลัก!E75,IF([1]เมนูหลัก!E75&gt;[1]เมนูหลัก!E78,[1]เมนูหลัก!E76)),0)</f>
        <v>0</v>
      </c>
      <c r="G11" s="21" t="str">
        <f>IF(F11=0,"-","ลบ.ม.")</f>
        <v>-</v>
      </c>
      <c r="H11" s="22">
        <f>IF(F11=0,0,ROUND([1]ราคาต่อหน่วย!$P$115,2))</f>
        <v>0</v>
      </c>
      <c r="I11" s="19">
        <f t="shared" si="0"/>
        <v>0</v>
      </c>
      <c r="J11" s="18">
        <f>IF(H11&lt;=0,0,IF($F$29&lt;=500000,[1]FACTORF!$C$22,[1]FACTORF!$C$50))</f>
        <v>0</v>
      </c>
      <c r="K11" s="19">
        <f t="shared" si="1"/>
        <v>0</v>
      </c>
      <c r="L11" s="19">
        <f t="shared" si="2"/>
        <v>0</v>
      </c>
      <c r="M11" s="24" t="str">
        <f>IF([1]เมนูหลัก!$E$74=1,CONCATENATE("หนา ",FIXED([1]เมนูหลัก!$E$59/100,2)," ม."),"")</f>
        <v/>
      </c>
      <c r="N11" s="69"/>
    </row>
    <row r="12" spans="1:14" ht="21.75" hidden="1" x14ac:dyDescent="0.5">
      <c r="A12" s="12" t="str">
        <f>IF(F12=0,"-",SUM($P$8:P12))</f>
        <v>-</v>
      </c>
      <c r="B12" s="13" t="str">
        <f>IF(F12=0,"               -","งานดินถม (จากการขนส่ง)")</f>
        <v xml:space="preserve">               -</v>
      </c>
      <c r="C12" s="13"/>
      <c r="D12" s="13"/>
      <c r="E12" s="14"/>
      <c r="F12" s="16">
        <f>IF([1]เมนูหลัก!E75&gt;[1]เมนูหลัก!E76,0,IF([1]เมนูหลัก!E76&gt;0,ROUNDDOWN([1]เมนูหลัก!$E$76-[1]เมนูหลัก!E75,0),ROUNDDOWN([1]วิธีคำนวณวัสดุ!$N$17,0)))</f>
        <v>0</v>
      </c>
      <c r="G12" s="21" t="str">
        <f>IF(F12=0,"-","ลบ.ม.")</f>
        <v>-</v>
      </c>
      <c r="H12" s="22">
        <f>IF(F12=0,0,ROUND([1]ราคาต่อหน่วย!Q124,2))</f>
        <v>0</v>
      </c>
      <c r="I12" s="19">
        <f t="shared" si="0"/>
        <v>0</v>
      </c>
      <c r="J12" s="18">
        <f>IF(H12&lt;=0,0,IF($F$29&lt;=500000,[1]FACTORF!$C$22,[1]FACTORF!$C$50))</f>
        <v>0</v>
      </c>
      <c r="K12" s="19">
        <f t="shared" si="1"/>
        <v>0</v>
      </c>
      <c r="L12" s="19">
        <f t="shared" si="2"/>
        <v>0</v>
      </c>
      <c r="M12" s="24" t="str">
        <f>IF([1]เมนูหลัก!$E$74=1,CONCATENATE("หนา ",FIXED([1]เมนูหลัก!$E$59/100,2)," ม."),"")</f>
        <v/>
      </c>
      <c r="N12" s="69"/>
    </row>
    <row r="13" spans="1:14" ht="21.75" hidden="1" x14ac:dyDescent="0.5">
      <c r="A13" s="12">
        <v>2</v>
      </c>
      <c r="B13" s="13" t="s">
        <v>16</v>
      </c>
      <c r="C13" s="13"/>
      <c r="D13" s="13"/>
      <c r="E13" s="14"/>
      <c r="F13" s="15">
        <v>19.8</v>
      </c>
      <c r="G13" s="16" t="str">
        <f>IF(F13&gt;0,"ตร.ม.",0)</f>
        <v>ตร.ม.</v>
      </c>
      <c r="H13" s="15">
        <v>72.36</v>
      </c>
      <c r="I13" s="17">
        <f>ROUND(H13*F13,2)</f>
        <v>1432.73</v>
      </c>
      <c r="J13" s="18">
        <f>IF(H13&lt;=0,0,IF($F$29&lt;=500000,[1]FACTORF!$C$22,[1]FACTORF!$C$50))</f>
        <v>1.3605</v>
      </c>
      <c r="K13" s="19">
        <f>ROUND(H13*J13,2)</f>
        <v>98.45</v>
      </c>
      <c r="L13" s="19">
        <f>ROUND(I13*J13,2)</f>
        <v>1949.23</v>
      </c>
      <c r="M13" s="24"/>
      <c r="N13" s="69"/>
    </row>
    <row r="14" spans="1:14" ht="21.75" x14ac:dyDescent="0.5">
      <c r="A14" s="12">
        <v>2</v>
      </c>
      <c r="B14" s="13" t="str">
        <f>IF(F14=0,"               -","งานชั้นรองพื้นทาง (หินคลุก)")</f>
        <v>งานชั้นรองพื้นทาง (หินคลุก)</v>
      </c>
      <c r="C14" s="13"/>
      <c r="D14" s="13"/>
      <c r="E14" s="14"/>
      <c r="F14" s="16">
        <v>126</v>
      </c>
      <c r="G14" s="21" t="str">
        <f>IF(F14=0,"-","ลบ.ม.")</f>
        <v>ลบ.ม.</v>
      </c>
      <c r="H14" s="22"/>
      <c r="I14" s="19"/>
      <c r="J14" s="18"/>
      <c r="K14" s="19"/>
      <c r="L14" s="19"/>
      <c r="M14" s="23" t="str">
        <f>IF(F14&lt;=0," ",CONCATENATE("หนา ",FIXED([1]เมนูหลัก!$E$60/100,2)," ม."))</f>
        <v>หนา 0.20 ม.</v>
      </c>
      <c r="N14" s="70" t="s">
        <v>26</v>
      </c>
    </row>
    <row r="15" spans="1:14" ht="21.75" hidden="1" x14ac:dyDescent="0.5">
      <c r="A15" s="12" t="str">
        <f>IF(F15=0,"-",SUM($P$8:P15))</f>
        <v>-</v>
      </c>
      <c r="B15" s="13" t="str">
        <f>IF(F15=0,"               -","งานชั้นพื้นทาง (หินคลุก)")</f>
        <v xml:space="preserve">               -</v>
      </c>
      <c r="C15" s="13"/>
      <c r="D15" s="13"/>
      <c r="E15" s="14"/>
      <c r="F15" s="16">
        <f>ROUNDDOWN([1]วิธีคำนวณวัสดุ!$N$15,0)</f>
        <v>0</v>
      </c>
      <c r="G15" s="21" t="str">
        <f>IF(F15=0,"-","ลบ.ม.")</f>
        <v>-</v>
      </c>
      <c r="H15" s="22">
        <f>IF(F15=0,0,ROUND([1]ราคาต่อหน่วย!Q172,2))</f>
        <v>0</v>
      </c>
      <c r="I15" s="19">
        <f t="shared" si="0"/>
        <v>0</v>
      </c>
      <c r="J15" s="18">
        <f>IF(H15&lt;=0,0,IF($F$29&lt;=500000,[1]FACTORF!$C$22,[1]FACTORF!$C$50))</f>
        <v>0</v>
      </c>
      <c r="K15" s="19">
        <f t="shared" si="1"/>
        <v>0</v>
      </c>
      <c r="L15" s="19">
        <f t="shared" si="2"/>
        <v>0</v>
      </c>
      <c r="M15" s="23" t="str">
        <f>IF(F15&lt;=0," ",CONCATENATE("หนา ",FIXED([1]เมนูหลัก!$E$61/100,2)," ม."))</f>
        <v xml:space="preserve"> </v>
      </c>
      <c r="N15" s="69"/>
    </row>
    <row r="16" spans="1:14" ht="21.75" hidden="1" x14ac:dyDescent="0.5">
      <c r="A16" s="12" t="str">
        <f>IF(F16=0,"-",SUM($P$8:P16))</f>
        <v>-</v>
      </c>
      <c r="B16" s="25" t="str">
        <f>IF([1]เมนูหลัก!E65=1,"งานปรับพื้นทางเดิมแบบ SKIN PATCH",IF([1]เมนูหลัก!E65=2,"งานปรับพื้นทางเดิมแบบ DEEP PATCH","               -"))</f>
        <v xml:space="preserve">               -</v>
      </c>
      <c r="C16" s="13"/>
      <c r="D16" s="26"/>
      <c r="E16" s="27"/>
      <c r="F16" s="16">
        <f>IF([1]เมนูหลัก!E65=1,[1]เมนูหลัก!E69,IF([1]เมนูหลัก!E65=2,[1]เมนูหลัก!E69,0))</f>
        <v>0</v>
      </c>
      <c r="G16" s="21" t="str">
        <f>IF(F16=0,"-","ตร.ม.")</f>
        <v>-</v>
      </c>
      <c r="H16" s="22">
        <f>IF([1]เมนูหลัก!E65=1,[1]ราคาต่อหน่วย!P192,IF([1]เมนูหลัก!E65=2,[1]ราคาต่อหน่วย!P212,0))</f>
        <v>0</v>
      </c>
      <c r="I16" s="19">
        <f t="shared" si="0"/>
        <v>0</v>
      </c>
      <c r="J16" s="18">
        <f>IF(H16&lt;=0,0,IF($F$29&lt;=500000,[1]FACTORF!$C$22,[1]FACTORF!$C$50))</f>
        <v>0</v>
      </c>
      <c r="K16" s="19">
        <f t="shared" si="1"/>
        <v>0</v>
      </c>
      <c r="L16" s="19">
        <f t="shared" si="2"/>
        <v>0</v>
      </c>
      <c r="M16" s="28"/>
      <c r="N16" s="69"/>
    </row>
    <row r="17" spans="1:14" ht="21.75" hidden="1" x14ac:dyDescent="0.5">
      <c r="A17" s="12" t="str">
        <f>IF(F17=0,"-",SUM($P$8:P17))</f>
        <v>-</v>
      </c>
      <c r="B17" s="13" t="str">
        <f>IF(F17=0,"               -","งาน Pavement In Place Recycling")</f>
        <v xml:space="preserve">               -</v>
      </c>
      <c r="C17" s="13"/>
      <c r="D17" s="13"/>
      <c r="E17" s="14"/>
      <c r="F17" s="16">
        <f>IF([1]วิธีคำนวณวัสดุ!$D$10=0,0,ROUNDDOWN([1]วิธีคำนวณวัสดุ!$N$13+[1]วิธีคำนวณวัสดุ!$N$22,0))</f>
        <v>0</v>
      </c>
      <c r="G17" s="21" t="str">
        <f>IF(F17=0,"-","ตร.ม.")</f>
        <v>-</v>
      </c>
      <c r="H17" s="22">
        <f>IF(F17=0,0,ROUND([1]ราคาต่อหน่วย!O241,2))</f>
        <v>0</v>
      </c>
      <c r="I17" s="19">
        <f t="shared" si="0"/>
        <v>0</v>
      </c>
      <c r="J17" s="18">
        <f>IF(H17&lt;=0,0,IF($F$29&lt;=500000,[1]FACTORF!$C$22,[1]FACTORF!$C$50))</f>
        <v>0</v>
      </c>
      <c r="K17" s="19">
        <f t="shared" si="1"/>
        <v>0</v>
      </c>
      <c r="L17" s="19">
        <f t="shared" si="2"/>
        <v>0</v>
      </c>
      <c r="M17" s="23" t="str">
        <f>IF(F17&lt;=0," ",CONCATENATE("กัดลึก ",FIXED([1]ราคาต่อหน่วย!O234,2)," ม."))</f>
        <v xml:space="preserve"> </v>
      </c>
      <c r="N17" s="69"/>
    </row>
    <row r="18" spans="1:14" ht="21.75" hidden="1" x14ac:dyDescent="0.5">
      <c r="A18" s="12" t="str">
        <f>IF(F18=0,"-",SUM($P$8:P18))</f>
        <v>-</v>
      </c>
      <c r="B18" s="13" t="str">
        <f>IF(F18=0,"               -","งาน PRIME COAT")</f>
        <v xml:space="preserve">               -</v>
      </c>
      <c r="C18" s="13"/>
      <c r="D18" s="13"/>
      <c r="E18" s="14"/>
      <c r="F18" s="16">
        <f>IF([1]วิธีคำนวณวัสดุ!Y13="P",ROUNDDOWN([1]วิธีคำนวณวัสดุ!N13,0),0)</f>
        <v>0</v>
      </c>
      <c r="G18" s="21" t="str">
        <f>IF(F18=0,"-","ตร.ม.")</f>
        <v>-</v>
      </c>
      <c r="H18" s="22">
        <f>IF(F18=0,0,ROUND([1]ราคาต่อหน่วย!O255,2))</f>
        <v>0</v>
      </c>
      <c r="I18" s="19">
        <f t="shared" si="0"/>
        <v>0</v>
      </c>
      <c r="J18" s="18">
        <f>IF(H18&lt;=0,0,IF($F$29&lt;=500000,[1]FACTORF!$C$22,[1]FACTORF!$C$50))</f>
        <v>0</v>
      </c>
      <c r="K18" s="19">
        <f t="shared" si="1"/>
        <v>0</v>
      </c>
      <c r="L18" s="19">
        <f t="shared" si="2"/>
        <v>0</v>
      </c>
      <c r="M18" s="20"/>
      <c r="N18" s="69"/>
    </row>
    <row r="19" spans="1:14" ht="21.75" hidden="1" x14ac:dyDescent="0.5">
      <c r="A19" s="12" t="str">
        <f>IF(F19=0,"-",SUM($P$8:P19))</f>
        <v>-</v>
      </c>
      <c r="B19" s="13" t="str">
        <f>IF(F19=0,"               -","งาน TACK COAT")</f>
        <v xml:space="preserve">               -</v>
      </c>
      <c r="C19" s="13"/>
      <c r="D19" s="29" t="str">
        <f>IF([1]เมนูหลัก!A31&lt;&gt;2,"",IF([1]เมนูหลัก!A31=2,IF([1]เมนูหลัก!E61=0,"ยังไม่มีค่างานหินคลุก","")))</f>
        <v/>
      </c>
      <c r="E19" s="14"/>
      <c r="F19" s="16">
        <f>IF([1]วิธีคำนวณวัสดุ!Y13="T",ROUNDDOWN([1]วิธีคำนวณวัสดุ!N13,0),0)</f>
        <v>0</v>
      </c>
      <c r="G19" s="21" t="str">
        <f>IF(F19=0,"-","ตร.ม.")</f>
        <v>-</v>
      </c>
      <c r="H19" s="22">
        <f>IF(F19=0,0,ROUND([1]ราคาต่อหน่วย!O261,2))</f>
        <v>0</v>
      </c>
      <c r="I19" s="19">
        <f t="shared" si="0"/>
        <v>0</v>
      </c>
      <c r="J19" s="18">
        <f>IF(H19&lt;=0,0,IF($F$29&lt;=500000,[1]FACTORF!$C$22,[1]FACTORF!$C$50))</f>
        <v>0</v>
      </c>
      <c r="K19" s="19">
        <f t="shared" si="1"/>
        <v>0</v>
      </c>
      <c r="L19" s="19">
        <f t="shared" si="2"/>
        <v>0</v>
      </c>
      <c r="M19" s="28"/>
      <c r="N19" s="69"/>
    </row>
    <row r="20" spans="1:14" ht="21.75" hidden="1" x14ac:dyDescent="0.5">
      <c r="A20" s="12" t="str">
        <f>IF(F20=0,"-",SUM($P$8:P20))</f>
        <v>-</v>
      </c>
      <c r="B20" s="13" t="str">
        <f>IF([1]เมนูหลัก!A31=2,"งานผิวทาง Chip Seal + Fog Spray","               -")</f>
        <v xml:space="preserve">               -</v>
      </c>
      <c r="C20" s="13"/>
      <c r="D20" s="13"/>
      <c r="E20" s="14"/>
      <c r="F20" s="16">
        <f>IF([1]เมนูหลัก!$A$31=1,[1]วิธีคำนวณวัสดุ!$N$14,IF([1]เมนูหลัก!$A$31=2,[1]วิธีคำนวณวัสดุ!$N$14,IF([1]เมนูหลัก!$A$31=3,[1]วิธีคำนวณวัสดุ!$N$14,IF([1]เมนูหลัก!$A$31=4,[1]วิธีคำนวณวัสดุ!$N$14,0))))</f>
        <v>0</v>
      </c>
      <c r="G20" s="21" t="str">
        <f>IF(F20=0,"-","ตร.ม.")</f>
        <v>-</v>
      </c>
      <c r="H20" s="22">
        <f>IF(F20=0,0,ROUND([1]ราคาต่อหน่วย!O299+[1]ราคาต่อหน่วย!O308,2))</f>
        <v>0</v>
      </c>
      <c r="I20" s="19">
        <f t="shared" si="0"/>
        <v>0</v>
      </c>
      <c r="J20" s="18">
        <f>IF(H20&lt;=0,0,IF($F$29&lt;=500000,[1]FACTORF!$C$22,[1]FACTORF!$C$50))</f>
        <v>0</v>
      </c>
      <c r="K20" s="19">
        <f t="shared" si="1"/>
        <v>0</v>
      </c>
      <c r="L20" s="19">
        <f t="shared" si="2"/>
        <v>0</v>
      </c>
      <c r="M20" s="28"/>
      <c r="N20" s="69"/>
    </row>
    <row r="21" spans="1:14" ht="21.75" x14ac:dyDescent="0.5">
      <c r="A21" s="12">
        <v>3</v>
      </c>
      <c r="B21" s="13" t="s">
        <v>21</v>
      </c>
      <c r="C21" s="13"/>
      <c r="D21" s="13"/>
      <c r="E21" s="14"/>
      <c r="F21" s="16">
        <v>1230</v>
      </c>
      <c r="G21" s="21" t="s">
        <v>12</v>
      </c>
      <c r="H21" s="22"/>
      <c r="I21" s="19"/>
      <c r="J21" s="18"/>
      <c r="K21" s="19"/>
      <c r="L21" s="19"/>
      <c r="M21" s="23" t="str">
        <f>IF([1]เมนูหลัก!$AC$23="คอนกรีตเสริมเหล็ก",CONCATENATE(" ","หนา ",[1]วิธีคำนวณวัสดุ!D6," ม."),"")</f>
        <v xml:space="preserve"> หนา 0.05 ม.</v>
      </c>
      <c r="N21" s="70" t="s">
        <v>24</v>
      </c>
    </row>
    <row r="22" spans="1:14" ht="34.5" customHeight="1" x14ac:dyDescent="0.5">
      <c r="A22" s="30">
        <v>4</v>
      </c>
      <c r="B22" s="48" t="s">
        <v>22</v>
      </c>
      <c r="C22" s="49"/>
      <c r="D22" s="49"/>
      <c r="E22" s="50"/>
      <c r="F22" s="31">
        <v>1200</v>
      </c>
      <c r="G22" s="32" t="str">
        <f>IF(F22=0,"-","ตร.ม.")</f>
        <v>ตร.ม.</v>
      </c>
      <c r="H22" s="31"/>
      <c r="I22" s="31"/>
      <c r="J22" s="33"/>
      <c r="K22" s="31"/>
      <c r="L22" s="31"/>
      <c r="M22" s="31" t="str">
        <f>IF(F22=0,"",IF([1]เมนูหลัก!A31=2,"",CONCATENATE("หนา ",[1]เมนูหลัก!E46/100," ม.")))</f>
        <v>หนา 0.2 ม.</v>
      </c>
      <c r="N22" s="69" t="s">
        <v>27</v>
      </c>
    </row>
    <row r="23" spans="1:14" ht="21.75" x14ac:dyDescent="0.5">
      <c r="A23" s="12"/>
      <c r="B23" s="57" t="s">
        <v>23</v>
      </c>
      <c r="C23" s="58"/>
      <c r="D23" s="58"/>
      <c r="E23" s="59"/>
      <c r="F23" s="60" t="s">
        <v>24</v>
      </c>
      <c r="G23" s="34" t="s">
        <v>24</v>
      </c>
      <c r="H23" s="60" t="s">
        <v>24</v>
      </c>
      <c r="I23" s="61" t="s">
        <v>24</v>
      </c>
      <c r="J23" s="62" t="s">
        <v>24</v>
      </c>
      <c r="K23" s="61" t="s">
        <v>24</v>
      </c>
      <c r="L23" s="61" t="s">
        <v>24</v>
      </c>
      <c r="M23" s="61" t="s">
        <v>24</v>
      </c>
      <c r="N23" s="61" t="s">
        <v>24</v>
      </c>
    </row>
    <row r="24" spans="1:14" ht="21.75" x14ac:dyDescent="0.5">
      <c r="A24" s="12">
        <v>12</v>
      </c>
      <c r="B24" s="13" t="str">
        <f>IF(F24=0,"               -","งานป้ายจราจรแบบ ต.1-ต.60,ต.62,ต.76")</f>
        <v>งานป้ายจราจรแบบ ต.1-ต.60,ต.62,ต.76</v>
      </c>
      <c r="C24" s="13"/>
      <c r="D24" s="13"/>
      <c r="E24" s="14"/>
      <c r="F24" s="16">
        <f>[1]เมนูหลัก!O33</f>
        <v>1</v>
      </c>
      <c r="G24" s="21" t="str">
        <f>IF(F24=0,"-","ชุด")</f>
        <v>ชุด</v>
      </c>
      <c r="H24" s="22"/>
      <c r="I24" s="19"/>
      <c r="J24" s="18"/>
      <c r="K24" s="19"/>
      <c r="L24" s="19"/>
      <c r="M24" s="20"/>
      <c r="N24" s="69" t="s">
        <v>24</v>
      </c>
    </row>
    <row r="25" spans="1:14" ht="21.75" hidden="1" x14ac:dyDescent="0.5">
      <c r="A25" s="12" t="str">
        <f>IF(F25=0,"-",SUM($P$8:P25))</f>
        <v>-</v>
      </c>
      <c r="B25" s="13" t="str">
        <f>IF(F25=0,"               -","งานป้ายจราจรแบบ น.2")</f>
        <v xml:space="preserve">               -</v>
      </c>
      <c r="C25" s="13"/>
      <c r="D25" s="13"/>
      <c r="E25" s="14"/>
      <c r="F25" s="16">
        <f>[1]เมนูหลัก!O34</f>
        <v>0</v>
      </c>
      <c r="G25" s="21" t="str">
        <f>IF(F25=0,"-","ชุด")</f>
        <v>-</v>
      </c>
      <c r="H25" s="22">
        <f>IF(F25=0,0,ROUND('[1]ราคาต่อหน่วยที่ฝ่ายสำรวจฯ กำหนด'!$M$32,2))</f>
        <v>0</v>
      </c>
      <c r="I25" s="19">
        <f t="shared" ref="I24:I28" si="3">ROUND(F25*H25,2)</f>
        <v>0</v>
      </c>
      <c r="J25" s="18">
        <f>IF(H25&lt;=0,0,IF($F$29&lt;=500000,[1]FACTORF!$C$22,[1]FACTORF!$C$50))</f>
        <v>0</v>
      </c>
      <c r="K25" s="19">
        <f t="shared" ref="K24:K28" si="4">ROUND(H25*J25,2)</f>
        <v>0</v>
      </c>
      <c r="L25" s="19">
        <f t="shared" si="2"/>
        <v>0</v>
      </c>
      <c r="M25" s="20"/>
      <c r="N25" s="69"/>
    </row>
    <row r="26" spans="1:14" ht="21.75" x14ac:dyDescent="0.5">
      <c r="A26" s="12">
        <v>13</v>
      </c>
      <c r="B26" s="13" t="str">
        <f>IF(F26=0,"               -","สีเทอร์โม สีเหลือง + สีขาว")</f>
        <v>สีเทอร์โม สีเหลือง + สีขาว</v>
      </c>
      <c r="C26" s="13"/>
      <c r="D26" s="13"/>
      <c r="E26" s="14"/>
      <c r="F26" s="16">
        <v>46</v>
      </c>
      <c r="G26" s="21" t="str">
        <f>IF(F26=0,"-","ตร.ม.")</f>
        <v>ตร.ม.</v>
      </c>
      <c r="H26" s="22"/>
      <c r="I26" s="19"/>
      <c r="J26" s="18"/>
      <c r="K26" s="19"/>
      <c r="L26" s="65"/>
      <c r="M26" s="23" t="str">
        <f>IF(F26=0,"","กว้าง "&amp;FIXED([1]เมนูหลัก!$O$41/100,2)&amp;" ม.")</f>
        <v>กว้าง 0.10 ม.</v>
      </c>
      <c r="N26" s="71" t="s">
        <v>13</v>
      </c>
    </row>
    <row r="27" spans="1:14" ht="21.75" hidden="1" x14ac:dyDescent="0.25">
      <c r="A27" s="12" t="str">
        <f>IF(F27=0,"-",SUM($P$8:P27))</f>
        <v>-</v>
      </c>
      <c r="B27" s="13" t="str">
        <f>IF(F27=0,"               -","RUMBLE STRIP")</f>
        <v xml:space="preserve">               -</v>
      </c>
      <c r="C27" s="13"/>
      <c r="D27" s="13"/>
      <c r="E27" s="14"/>
      <c r="F27" s="16">
        <f>IF([1]เมนูหลัก!O39=0,0,[1]เมนูหลัก!$O$39*[1]ราคาต่อหน่วย!$O$1220)</f>
        <v>0</v>
      </c>
      <c r="G27" s="21" t="str">
        <f>IF(F27=0,"-","ตร.ม.")</f>
        <v>-</v>
      </c>
      <c r="H27" s="22">
        <f>IF(F27=0,0,ROUND([1]ราคาต่อหน่วย!O1226,2))</f>
        <v>0</v>
      </c>
      <c r="I27" s="19">
        <f t="shared" si="3"/>
        <v>0</v>
      </c>
      <c r="J27" s="18">
        <f>IF(H27&lt;=0,0,IF($F$29&lt;=500000,[1]FACTORF!$C$22,[1]FACTORF!$C$50))</f>
        <v>0</v>
      </c>
      <c r="K27" s="19">
        <f t="shared" si="4"/>
        <v>0</v>
      </c>
      <c r="L27" s="35">
        <f t="shared" si="2"/>
        <v>0</v>
      </c>
      <c r="M27" s="20"/>
    </row>
    <row r="28" spans="1:14" ht="21.75" hidden="1" x14ac:dyDescent="0.25">
      <c r="A28" s="12" t="str">
        <f>IF(F28=0,"-",SUM($P$8:P28))</f>
        <v>-</v>
      </c>
      <c r="B28" s="13" t="str">
        <f>IF(F28=0,"               -","ทางม้าลาย")</f>
        <v xml:space="preserve">               -</v>
      </c>
      <c r="C28" s="13"/>
      <c r="D28" s="13"/>
      <c r="E28" s="14"/>
      <c r="F28" s="16">
        <f>IF([1]เมนูหลัก!O40=0,0,[1]เมนูหลัก!O40)</f>
        <v>0</v>
      </c>
      <c r="G28" s="21" t="str">
        <f>IF(F28=0,"-","แห่ง")</f>
        <v>-</v>
      </c>
      <c r="H28" s="22">
        <f>IF(F28=0,0,ROUND([1]ราคาต่อหน่วย!O1238,2))</f>
        <v>0</v>
      </c>
      <c r="I28" s="19">
        <f t="shared" si="3"/>
        <v>0</v>
      </c>
      <c r="J28" s="18">
        <f>IF(H28&lt;=0,0,IF($F$29&lt;=500000,[1]FACTORF!$C$22,[1]FACTORF!$C$50))</f>
        <v>0</v>
      </c>
      <c r="K28" s="19">
        <f t="shared" si="4"/>
        <v>0</v>
      </c>
      <c r="L28" s="63">
        <f t="shared" si="2"/>
        <v>0</v>
      </c>
      <c r="M28" s="64"/>
    </row>
    <row r="29" spans="1:14" ht="22.5" thickBot="1" x14ac:dyDescent="0.3">
      <c r="A29" s="36"/>
      <c r="B29" s="36"/>
      <c r="C29" s="36"/>
      <c r="D29" s="37" t="s">
        <v>14</v>
      </c>
      <c r="E29" s="37"/>
      <c r="F29" s="72" t="s">
        <v>28</v>
      </c>
      <c r="G29" s="73"/>
      <c r="H29" s="73"/>
      <c r="I29" s="73"/>
      <c r="J29" s="73"/>
      <c r="K29" s="73"/>
      <c r="L29" s="76"/>
      <c r="M29" s="75"/>
      <c r="N29" s="74"/>
    </row>
    <row r="30" spans="1:14" ht="19.5" thickTop="1" x14ac:dyDescent="0.25">
      <c r="A30" s="38"/>
      <c r="B30" s="38"/>
      <c r="C30" s="38"/>
      <c r="D30" s="38"/>
      <c r="E30" s="38"/>
      <c r="F30" s="38"/>
      <c r="G30" s="38"/>
      <c r="H30" s="38"/>
      <c r="I30" s="39">
        <f>SUM(I8:I28)</f>
        <v>1432.73</v>
      </c>
      <c r="J30" s="38"/>
      <c r="K30" s="38"/>
      <c r="L30" s="38"/>
      <c r="M30" s="38"/>
    </row>
    <row r="32" spans="1:14" ht="24" customHeight="1" x14ac:dyDescent="0.3">
      <c r="H32" s="41" t="s">
        <v>25</v>
      </c>
      <c r="I32" s="41"/>
      <c r="J32" s="41"/>
      <c r="K32" s="41"/>
    </row>
    <row r="33" spans="8:11" ht="24" customHeight="1" x14ac:dyDescent="0.3">
      <c r="H33" s="41" t="s">
        <v>18</v>
      </c>
      <c r="I33" s="41"/>
      <c r="J33" s="41"/>
      <c r="K33" s="41"/>
    </row>
  </sheetData>
  <mergeCells count="20">
    <mergeCell ref="N6:N7"/>
    <mergeCell ref="A1:M1"/>
    <mergeCell ref="A2:M2"/>
    <mergeCell ref="M6:M7"/>
    <mergeCell ref="B22:E22"/>
    <mergeCell ref="B23:E23"/>
    <mergeCell ref="A6:A7"/>
    <mergeCell ref="B6:E7"/>
    <mergeCell ref="F6:F7"/>
    <mergeCell ref="G6:G7"/>
    <mergeCell ref="H6:H7"/>
    <mergeCell ref="I6:I7"/>
    <mergeCell ref="J6:J7"/>
    <mergeCell ref="L6:L7"/>
    <mergeCell ref="H32:K32"/>
    <mergeCell ref="H33:K33"/>
    <mergeCell ref="E5:F5"/>
    <mergeCell ref="A3:M3"/>
    <mergeCell ref="A4:M4"/>
    <mergeCell ref="F29:K29"/>
  </mergeCells>
  <pageMargins left="0.43307086614173229" right="0.43307086614173229" top="0.74803149606299213" bottom="0.94488188976377963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tourlbvidz</dc:creator>
  <cp:lastModifiedBy>Admin</cp:lastModifiedBy>
  <cp:lastPrinted>2024-04-24T10:19:17Z</cp:lastPrinted>
  <dcterms:created xsi:type="dcterms:W3CDTF">2015-06-05T18:19:34Z</dcterms:created>
  <dcterms:modified xsi:type="dcterms:W3CDTF">2025-02-24T08:24:22Z</dcterms:modified>
</cp:coreProperties>
</file>