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4240" windowHeight="13140" activeTab="0"/>
  </bookViews>
  <sheets>
    <sheet name="ตัวอย่างการคำนวณ" sheetId="15" r:id="rId1"/>
    <sheet name="ตัวอย่างวิธีการ" sheetId="13" r:id="rId2"/>
    <sheet name="ตัวอย่าง" sheetId="14" r:id="rId3"/>
    <sheet name="ตัวอย่างแบบฟอร์ม พี่จิ๋น (2)" sheetId="12" state="hidden" r:id="rId4"/>
    <sheet name="ตัวอย่างแบบฟอร์ม" sheetId="10" state="hidden" r:id="rId5"/>
    <sheet name="ตัวอย่าง ระเบียบ" sheetId="1" state="hidden" r:id="rId6"/>
  </sheets>
  <definedNames>
    <definedName name="_xlnm.Print_Area" localSheetId="2">'ตัวอย่าง'!$D$2:$T$33</definedName>
    <definedName name="_xlnm.Print_Area" localSheetId="5">'ตัวอย่าง ระเบียบ'!$C$3:$X$40</definedName>
    <definedName name="_xlnm.Print_Area" localSheetId="0">'ตัวอย่างการคำนวณ'!$D$2:$T$33</definedName>
    <definedName name="_xlnm.Print_Area" localSheetId="4">'ตัวอย่างแบบฟอร์ม'!$C$3:$X$40</definedName>
    <definedName name="_xlnm.Print_Area" localSheetId="3">'ตัวอย่างแบบฟอร์ม พี่จิ๋น (2)'!$C$3:$T$29</definedName>
    <definedName name="_xlnm.Print_Area" localSheetId="1">'ตัวอย่างวิธีการ'!$D$2:$T$33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<sst xmlns="http://schemas.openxmlformats.org/spreadsheetml/2006/main" count="317" uniqueCount="70">
  <si>
    <t>a1</t>
  </si>
  <si>
    <t>a2</t>
  </si>
  <si>
    <t>b1</t>
  </si>
  <si>
    <t>b2</t>
  </si>
  <si>
    <t>b3</t>
  </si>
  <si>
    <t>c1</t>
  </si>
  <si>
    <t>d1</t>
  </si>
  <si>
    <t>d2</t>
  </si>
  <si>
    <t>e1</t>
  </si>
  <si>
    <t>e2</t>
  </si>
  <si>
    <t>e3</t>
  </si>
  <si>
    <t>b4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</si>
  <si>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</si>
  <si>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</si>
  <si>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</si>
  <si>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</si>
  <si>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</si>
  <si>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</si>
  <si>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</si>
  <si>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</si>
  <si>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</si>
  <si>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</si>
  <si>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</si>
  <si>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</si>
  <si>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% PLAN</t>
  </si>
  <si>
    <t>% ACC PLAN</t>
  </si>
  <si>
    <t>% ACTUAL</t>
  </si>
  <si>
    <t>% ACC ACTUAL</t>
  </si>
  <si>
    <t>% ACC DIFF</t>
  </si>
  <si>
    <t>หน่วย</t>
  </si>
  <si>
    <t>ปริมาณงาน</t>
  </si>
  <si>
    <t>ราคาต่อหน่วย</t>
  </si>
  <si>
    <t>เป็นเงิน</t>
  </si>
  <si>
    <t>%</t>
  </si>
  <si>
    <t>งานรื้อโครงสร้างเดิม</t>
  </si>
  <si>
    <t>งานดิน</t>
  </si>
  <si>
    <t>งานรองพื้นทางและพื้นทาง</t>
  </si>
  <si>
    <t>งานโครงสร้าง</t>
  </si>
  <si>
    <t>งานผิวทาง</t>
  </si>
  <si>
    <t>ลบ.ม.</t>
  </si>
  <si>
    <t>ตร.ม.</t>
  </si>
  <si>
    <t>Money</t>
  </si>
  <si>
    <t>AccMoney</t>
  </si>
  <si>
    <t>รายการ</t>
  </si>
  <si>
    <t>% PLAN/2</t>
  </si>
  <si>
    <t>% PLAN/2 DIFF</t>
  </si>
  <si>
    <t>ที่</t>
  </si>
  <si>
    <t xml:space="preserve">หมายเหตุ: </t>
  </si>
  <si>
    <t xml:space="preserve"> หมายถึง  ระยะเวลาการก่อสร้างตามแผนดำเนินงาน เช่น งานรื้อโครงสร้างเดิม กำหนดระยะเวลาก่อสร้าง จำนวน 4 เดือน</t>
  </si>
  <si>
    <t xml:space="preserve"> หมายถึง ร้อยละของงานที่ผู้รับจ้างต้องดำเนินการก่อสร้างตามแผนงานของแต่ละรายการก่อสร้าง </t>
  </si>
  <si>
    <t xml:space="preserve"> ร้อยละของแผนดำเนินงาน คำนวณจากมูลค่าของงานตามแผนดำเนินการ เมื่อเทียบกับมูลค่าของงานทั้งโครงการ</t>
  </si>
  <si>
    <t xml:space="preserve"> มูลค่างานแต่ละรายการ คำนวณจากร้อยละตามแผนงานเทียบกับมูลค่างานของแต่ละรายการ</t>
  </si>
  <si>
    <t>รวม</t>
  </si>
  <si>
    <t>เดือน...</t>
  </si>
  <si>
    <t>รายการ....</t>
  </si>
  <si>
    <t>ตัวอย่างการคำนวณและการประเมินการดำเนินการตามแผนการทำงาน</t>
  </si>
  <si>
    <t>ตัวอย่างแบบการจัดทำแผนการทำงาน</t>
  </si>
  <si>
    <t xml:space="preserve">ตัวอย่างวิธีการจัดทำแผนการทำงาน </t>
  </si>
  <si>
    <t xml:space="preserve"> หมายถึง  ระยะเวลาการก่อสร้างตามแผนดำเนินงานของแต่ละรายการก่อสร้าง เช่น งานรื้อโครงสร้างเดิม กำหนดระยะเวลาก่อสร้าง จำนวน 4 เดือน (ไม่รวมระยะเวลาการก่อสร้างผิวทาง)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</si>
  <si>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 100 %  </t>
  </si>
  <si>
    <t xml:space="preserve">         1)</t>
  </si>
  <si>
    <t xml:space="preserve">         4)</t>
  </si>
  <si>
    <t xml:space="preserve">         3)</t>
  </si>
  <si>
    <t xml:space="preserve">         2)</t>
  </si>
  <si>
    <t xml:space="preserve">         5)</t>
  </si>
  <si>
    <t>กรณีตัวอย่าง กำหนดระยะเวลาการก่อสร้างตามแผนดำเนินงานทั้งสัญญา จำนวน 8 เดือน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</si>
  <si>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(แต่ละรายการก่อสร้าง รวมกัน 100 %)  </t>
  </si>
  <si>
    <t xml:space="preserve"> หมายถึง  ระยะเวลาการก่อสร้างตามแผนดำเนินงานของแต่ละรายการก่อสร้าง เช่น 1. งานรื้อโครงสร้างเดิม กำหนดระยะเวลาก่อสร้าง จำนวน 4 เดือน  2. งานก่อสร้างผิวทาง กำหนดระยะเวลาก่อสร้าง 5 เดือน</t>
  </si>
  <si>
    <t xml:space="preserve">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</si>
  <si>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คิดเป็นร้อยละ 100 ตามตัวอย่าง งานรื้อโครงสร้างเดิม ถือเป็นร้อยละ 100 ของรายการนี้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</si>
</sst>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0"/>
      <name val="TH SarabunPSK"/>
      <family val="2"/>
    </font>
    <font>
      <sz val="8"/>
      <name val="Calibri"/>
      <family val="2"/>
      <scheme val="minor"/>
    </font>
    <font>
      <b/>
      <sz val="22"/>
      <color theme="1"/>
      <name val="TH SarabunPSK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24"/>
      <color theme="1"/>
      <name val="TH SarabunPSK"/>
      <family val="2"/>
    </font>
    <font>
      <sz val="11"/>
      <color theme="0"/>
      <name val="Calibri"/>
      <family val="2"/>
    </font>
    <font>
      <b/>
      <sz val="10.5"/>
      <color theme="1"/>
      <name val="TH SarabunPSK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23AF83"/>
        <bgColor indexed="64"/>
      </patternFill>
    </fill>
    <fill>
      <patternFill patternType="solid">
        <fgColor rgb="FFFCB335"/>
        <bgColor indexed="64"/>
      </patternFill>
    </fill>
    <fill>
      <patternFill patternType="solid">
        <fgColor rgb="FFFCE574"/>
        <bgColor indexed="64"/>
      </patternFill>
    </fill>
    <fill>
      <patternFill patternType="solid">
        <fgColor rgb="FFF1A8B7"/>
        <bgColor indexed="64"/>
      </patternFill>
    </fill>
    <fill>
      <patternFill patternType="solid">
        <fgColor rgb="FFABD1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 style="medium"/>
      <top style="medium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87" fontId="2" fillId="0" borderId="0" xfId="21" applyNumberFormat="1" applyFont="1" applyAlignment="1">
      <alignment horizontal="center"/>
    </xf>
    <xf numFmtId="9" fontId="2" fillId="0" borderId="0" xfId="20" applyFont="1" applyAlignment="1">
      <alignment horizontal="center"/>
    </xf>
    <xf numFmtId="9" fontId="2" fillId="0" borderId="0" xfId="2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9" fontId="2" fillId="0" borderId="7" xfId="2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4" borderId="7" xfId="0" applyNumberFormat="1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  <xf numFmtId="9" fontId="2" fillId="0" borderId="7" xfId="20" applyFont="1" applyFill="1" applyBorder="1" applyAlignment="1">
      <alignment horizontal="center"/>
    </xf>
    <xf numFmtId="9" fontId="2" fillId="6" borderId="7" xfId="20" applyFont="1" applyFill="1" applyBorder="1" applyAlignment="1">
      <alignment horizontal="center"/>
    </xf>
    <xf numFmtId="187" fontId="2" fillId="0" borderId="7" xfId="2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2" fillId="4" borderId="7" xfId="20" applyFont="1" applyFill="1" applyBorder="1" applyAlignment="1">
      <alignment horizontal="center"/>
    </xf>
    <xf numFmtId="0" fontId="2" fillId="7" borderId="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9" fontId="2" fillId="7" borderId="2" xfId="0" applyNumberFormat="1" applyFont="1" applyFill="1" applyBorder="1" applyAlignment="1">
      <alignment horizontal="center"/>
    </xf>
    <xf numFmtId="9" fontId="2" fillId="7" borderId="5" xfId="0" applyNumberFormat="1" applyFont="1" applyFill="1" applyBorder="1" applyAlignment="1">
      <alignment horizontal="center"/>
    </xf>
    <xf numFmtId="9" fontId="2" fillId="7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0" borderId="0" xfId="0" applyFont="1"/>
    <xf numFmtId="187" fontId="3" fillId="6" borderId="0" xfId="21" applyNumberFormat="1" applyFont="1" applyFill="1" applyAlignment="1">
      <alignment horizontal="center"/>
    </xf>
    <xf numFmtId="9" fontId="2" fillId="8" borderId="7" xfId="2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0" xfId="21" applyNumberFormat="1" applyFont="1" applyBorder="1" applyAlignment="1">
      <alignment horizontal="center"/>
    </xf>
    <xf numFmtId="9" fontId="2" fillId="0" borderId="0" xfId="20" applyFont="1" applyBorder="1" applyAlignment="1">
      <alignment horizontal="center"/>
    </xf>
    <xf numFmtId="9" fontId="2" fillId="0" borderId="0" xfId="2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87" fontId="3" fillId="6" borderId="0" xfId="21" applyNumberFormat="1" applyFont="1" applyFill="1" applyBorder="1" applyAlignment="1">
      <alignment horizontal="center"/>
    </xf>
    <xf numFmtId="187" fontId="2" fillId="0" borderId="0" xfId="21" applyNumberFormat="1" applyFont="1" applyFill="1" applyBorder="1" applyAlignment="1">
      <alignment horizontal="center"/>
    </xf>
    <xf numFmtId="187" fontId="3" fillId="0" borderId="0" xfId="21" applyNumberFormat="1" applyFont="1" applyFill="1" applyBorder="1" applyAlignment="1">
      <alignment horizontal="center"/>
    </xf>
    <xf numFmtId="187" fontId="2" fillId="0" borderId="14" xfId="21" applyNumberFormat="1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9" fontId="2" fillId="0" borderId="14" xfId="20" applyFont="1" applyBorder="1" applyAlignment="1">
      <alignment horizontal="center"/>
    </xf>
    <xf numFmtId="9" fontId="2" fillId="7" borderId="13" xfId="0" applyNumberFormat="1" applyFont="1" applyFill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187" fontId="2" fillId="0" borderId="18" xfId="21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87" fontId="6" fillId="0" borderId="23" xfId="21" applyNumberFormat="1" applyFont="1" applyBorder="1" applyAlignment="1">
      <alignment horizontal="center"/>
    </xf>
    <xf numFmtId="187" fontId="6" fillId="0" borderId="24" xfId="21" applyNumberFormat="1" applyFont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9" fontId="6" fillId="0" borderId="23" xfId="20" applyFont="1" applyBorder="1" applyAlignment="1">
      <alignment horizontal="center"/>
    </xf>
    <xf numFmtId="9" fontId="6" fillId="0" borderId="24" xfId="20" applyFont="1" applyBorder="1" applyAlignment="1">
      <alignment horizontal="center"/>
    </xf>
    <xf numFmtId="9" fontId="2" fillId="7" borderId="25" xfId="0" applyNumberFormat="1" applyFont="1" applyFill="1" applyBorder="1" applyAlignment="1">
      <alignment horizontal="center"/>
    </xf>
    <xf numFmtId="9" fontId="6" fillId="0" borderId="23" xfId="20" applyFont="1" applyFill="1" applyBorder="1" applyAlignment="1">
      <alignment horizontal="center"/>
    </xf>
    <xf numFmtId="9" fontId="6" fillId="0" borderId="24" xfId="20" applyFont="1" applyFill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7" fontId="6" fillId="0" borderId="19" xfId="21" applyNumberFormat="1" applyFont="1" applyBorder="1" applyAlignment="1">
      <alignment horizontal="center"/>
    </xf>
    <xf numFmtId="187" fontId="6" fillId="0" borderId="20" xfId="21" applyNumberFormat="1" applyFont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9" fontId="6" fillId="0" borderId="19" xfId="20" applyFont="1" applyBorder="1" applyAlignment="1">
      <alignment horizontal="center"/>
    </xf>
    <xf numFmtId="9" fontId="6" fillId="0" borderId="20" xfId="20" applyFont="1" applyBorder="1" applyAlignment="1">
      <alignment horizontal="center"/>
    </xf>
    <xf numFmtId="9" fontId="2" fillId="7" borderId="28" xfId="0" applyNumberFormat="1" applyFont="1" applyFill="1" applyBorder="1" applyAlignment="1">
      <alignment horizontal="center"/>
    </xf>
    <xf numFmtId="9" fontId="6" fillId="0" borderId="19" xfId="20" applyFont="1" applyFill="1" applyBorder="1" applyAlignment="1">
      <alignment horizontal="center"/>
    </xf>
    <xf numFmtId="9" fontId="6" fillId="0" borderId="20" xfId="20" applyFont="1" applyFill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9" fontId="6" fillId="0" borderId="29" xfId="20" applyFont="1" applyFill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9" fontId="2" fillId="0" borderId="31" xfId="20" applyFont="1" applyBorder="1" applyAlignment="1">
      <alignment horizontal="center"/>
    </xf>
    <xf numFmtId="187" fontId="2" fillId="0" borderId="16" xfId="21" applyNumberFormat="1" applyFont="1" applyBorder="1" applyAlignment="1">
      <alignment horizontal="center"/>
    </xf>
    <xf numFmtId="187" fontId="3" fillId="6" borderId="32" xfId="21" applyNumberFormat="1" applyFont="1" applyFill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30" xfId="0" applyNumberFormat="1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87" fontId="6" fillId="0" borderId="7" xfId="21" applyNumberFormat="1" applyFont="1" applyBorder="1" applyAlignment="1">
      <alignment horizontal="center"/>
    </xf>
    <xf numFmtId="187" fontId="6" fillId="0" borderId="14" xfId="21" applyNumberFormat="1" applyFont="1" applyBorder="1" applyAlignment="1">
      <alignment horizontal="center"/>
    </xf>
    <xf numFmtId="9" fontId="6" fillId="0" borderId="7" xfId="20" applyFont="1" applyBorder="1" applyAlignment="1">
      <alignment horizontal="center"/>
    </xf>
    <xf numFmtId="9" fontId="6" fillId="0" borderId="14" xfId="20" applyFont="1" applyBorder="1" applyAlignment="1">
      <alignment horizontal="center"/>
    </xf>
    <xf numFmtId="9" fontId="6" fillId="0" borderId="7" xfId="20" applyFont="1" applyFill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87" fontId="6" fillId="0" borderId="40" xfId="21" applyNumberFormat="1" applyFont="1" applyBorder="1" applyAlignment="1">
      <alignment horizontal="center"/>
    </xf>
    <xf numFmtId="187" fontId="6" fillId="0" borderId="41" xfId="21" applyNumberFormat="1" applyFont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9" fontId="6" fillId="0" borderId="40" xfId="20" applyFont="1" applyBorder="1" applyAlignment="1">
      <alignment horizontal="center"/>
    </xf>
    <xf numFmtId="9" fontId="6" fillId="0" borderId="41" xfId="20" applyFont="1" applyBorder="1" applyAlignment="1">
      <alignment horizontal="center"/>
    </xf>
    <xf numFmtId="9" fontId="2" fillId="7" borderId="39" xfId="0" applyNumberFormat="1" applyFont="1" applyFill="1" applyBorder="1" applyAlignment="1">
      <alignment horizontal="center"/>
    </xf>
    <xf numFmtId="9" fontId="6" fillId="0" borderId="40" xfId="20" applyFont="1" applyFill="1" applyBorder="1" applyAlignment="1">
      <alignment horizontal="center"/>
    </xf>
    <xf numFmtId="9" fontId="6" fillId="0" borderId="41" xfId="20" applyFont="1" applyFill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9" fontId="6" fillId="0" borderId="4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3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ปอร์เซ็นต์" xfId="20"/>
    <cellStyle name="จุลภาค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ตัวอย่างการคำนวณ!$L$19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ตัวอย่างการคำนวณ!$M$19:$T$19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ตัวอย่างการคำนวณ!$L$22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ตัวอย่างการคำนวณ!$M$22:$T$22</c:f>
              <c:numCache/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695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ตัวอย่างวิธีการ!$L$19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ตัวอย่างวิธีการ!$M$19:$T$19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ตัวอย่างวิธีการ!$L$22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ตัวอย่างวิธีการ!$M$22:$T$22</c:f>
              <c:numCache/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8362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ตัวอย่าง!$M$22:$T$22</c:f>
              <c:numCache/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871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'ตัวอย่างแบบฟอร์ม พี่จิ๋น (2)'!$L$17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'ตัวอย่างแบบฟอร์ม พี่จิ๋น (2)'!$M$17:$T$17</c:f>
              <c:numCache/>
            </c:numRef>
          </c:val>
          <c:smooth val="0"/>
        </c:ser>
        <c:ser>
          <c:idx val="1"/>
          <c:order val="1"/>
          <c:tx>
            <c:strRef>
              <c:f>'ตัวอย่างแบบฟอร์ม พี่จิ๋น (2)'!$L$20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'ตัวอย่างแบบฟอร์ม พี่จิ๋น (2)'!$M$20:$T$20</c:f>
              <c:numCache/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0662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ตัวอย่างแบบฟอร์ม!$L$28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ตัวอย่างแบบฟอร์ม!$M$28:$X$28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ตัวอย่างแบบฟอร์ม!$L$31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ตัวอย่างแบบฟอร์ม!$M$31:$X$31</c:f>
              <c:numCache/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984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 ระเบียบ'!$L$28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 ระเบียบ'!$M$28:$X$28</c:f>
              <c:numCache/>
            </c:numRef>
          </c:val>
          <c:smooth val="0"/>
        </c:ser>
        <c:ser>
          <c:idx val="1"/>
          <c:order val="1"/>
          <c:tx>
            <c:strRef>
              <c:f>'ตัวอย่าง ระเบียบ'!$L$31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 ระเบียบ'!$M$31:$X$31</c:f>
              <c:numCache/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108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276225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4714875"/>
        <a:ext cx="41910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981075</xdr:colOff>
      <xdr:row>7</xdr:row>
      <xdr:rowOff>171450</xdr:rowOff>
    </xdr:from>
    <xdr:to>
      <xdr:col>14</xdr:col>
      <xdr:colOff>809625</xdr:colOff>
      <xdr:row>12</xdr:row>
      <xdr:rowOff>19050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9267825" y="2019300"/>
          <a:ext cx="2552700" cy="1143000"/>
        </a:xfrm>
        <a:prstGeom prst="wedgeRoundRectCallout">
          <a:avLst>
            <a:gd name="adj1" fmla="val -24925"/>
            <a:gd name="adj2" fmla="val 89559"/>
            <a:gd name="adj3" fmla="val 16667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05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4</xdr:row>
      <xdr:rowOff>190500</xdr:rowOff>
    </xdr:from>
    <xdr:to>
      <xdr:col>10</xdr:col>
      <xdr:colOff>28575</xdr:colOff>
      <xdr:row>6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46685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4</xdr:row>
      <xdr:rowOff>190500</xdr:rowOff>
    </xdr:from>
    <xdr:to>
      <xdr:col>12</xdr:col>
      <xdr:colOff>895350</xdr:colOff>
      <xdr:row>6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46685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13</xdr:col>
      <xdr:colOff>57150</xdr:colOff>
      <xdr:row>14</xdr:row>
      <xdr:rowOff>304800</xdr:rowOff>
    </xdr:to>
    <xdr:sp macro="" textlink="">
      <xdr:nvSpPr>
        <xdr:cNvPr id="6" name="สี่เหลี่ยมผืนผ้า 5"/>
        <xdr:cNvSpPr/>
      </xdr:nvSpPr>
      <xdr:spPr>
        <a:xfrm>
          <a:off x="9382125" y="3581400"/>
          <a:ext cx="923925" cy="24765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1066800</xdr:colOff>
      <xdr:row>9</xdr:row>
      <xdr:rowOff>304800</xdr:rowOff>
    </xdr:from>
    <xdr:to>
      <xdr:col>13</xdr:col>
      <xdr:colOff>361950</xdr:colOff>
      <xdr:row>9</xdr:row>
      <xdr:rowOff>304800</xdr:rowOff>
    </xdr:to>
    <xdr:cxnSp macro="">
      <xdr:nvCxnSpPr>
        <xdr:cNvPr id="7" name="ตัวเชื่อมต่อตรง 6"/>
        <xdr:cNvCxnSpPr/>
      </xdr:nvCxnSpPr>
      <xdr:spPr>
        <a:xfrm>
          <a:off x="9353550" y="2533650"/>
          <a:ext cx="12573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485775</xdr:colOff>
      <xdr:row>9</xdr:row>
      <xdr:rowOff>0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0734675" y="222885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0</xdr:colOff>
      <xdr:row>17</xdr:row>
      <xdr:rowOff>28575</xdr:rowOff>
    </xdr:from>
    <xdr:to>
      <xdr:col>12</xdr:col>
      <xdr:colOff>895350</xdr:colOff>
      <xdr:row>18</xdr:row>
      <xdr:rowOff>9525</xdr:rowOff>
    </xdr:to>
    <xdr:sp macro="" textlink="">
      <xdr:nvSpPr>
        <xdr:cNvPr id="9" name="สี่เหลี่ยมผืนผ้า 8"/>
        <xdr:cNvSpPr/>
      </xdr:nvSpPr>
      <xdr:spPr>
        <a:xfrm>
          <a:off x="9353550" y="4467225"/>
          <a:ext cx="895350" cy="28575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676275</xdr:colOff>
      <xdr:row>13</xdr:row>
      <xdr:rowOff>95250</xdr:rowOff>
    </xdr:from>
    <xdr:to>
      <xdr:col>10</xdr:col>
      <xdr:colOff>638175</xdr:colOff>
      <xdr:row>17</xdr:row>
      <xdr:rowOff>28575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5343525" y="3429000"/>
          <a:ext cx="2819400" cy="1038225"/>
        </a:xfrm>
        <a:prstGeom prst="wedgeRoundRectCallout">
          <a:avLst>
            <a:gd name="adj1" fmla="val 92642"/>
            <a:gd name="adj2" fmla="val 48623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040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885825</xdr:colOff>
      <xdr:row>14</xdr:row>
      <xdr:rowOff>304800</xdr:rowOff>
    </xdr:from>
    <xdr:to>
      <xdr:col>8</xdr:col>
      <xdr:colOff>885825</xdr:colOff>
      <xdr:row>14</xdr:row>
      <xdr:rowOff>304800</xdr:rowOff>
    </xdr:to>
    <xdr:cxnSp macro="">
      <xdr:nvCxnSpPr>
        <xdr:cNvPr id="11" name="ตัวเชื่อมต่อตรง 10"/>
        <xdr:cNvCxnSpPr/>
      </xdr:nvCxnSpPr>
      <xdr:spPr>
        <a:xfrm>
          <a:off x="5553075" y="3829050"/>
          <a:ext cx="9525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914400</xdr:colOff>
      <xdr:row>14</xdr:row>
      <xdr:rowOff>180975</xdr:rowOff>
    </xdr:from>
    <xdr:ext cx="733425" cy="790575"/>
    <xdr:sp macro="" textlink="">
      <xdr:nvSpPr>
        <xdr:cNvPr id="12" name="กล่องข้อความ 11"/>
        <xdr:cNvSpPr txBox="1"/>
      </xdr:nvSpPr>
      <xdr:spPr>
        <a:xfrm>
          <a:off x="6534150" y="370522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485775</xdr:colOff>
      <xdr:row>14</xdr:row>
      <xdr:rowOff>123825</xdr:rowOff>
    </xdr:from>
    <xdr:ext cx="952500" cy="495300"/>
    <xdr:sp macro="" textlink="">
      <xdr:nvSpPr>
        <xdr:cNvPr id="13" name="กล่องข้อความ 12"/>
        <xdr:cNvSpPr txBox="1"/>
      </xdr:nvSpPr>
      <xdr:spPr>
        <a:xfrm>
          <a:off x="7058025" y="3648075"/>
          <a:ext cx="952500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4.1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171450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3924300"/>
        <a:ext cx="41910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16</xdr:row>
      <xdr:rowOff>57150</xdr:rowOff>
    </xdr:from>
    <xdr:to>
      <xdr:col>10</xdr:col>
      <xdr:colOff>276225</xdr:colOff>
      <xdr:row>27</xdr:row>
      <xdr:rowOff>0</xdr:rowOff>
    </xdr:to>
    <xdr:sp macro="" textlink="">
      <xdr:nvSpPr>
        <xdr:cNvPr id="14" name="สี่เหลี่ยมผืนผ้า 13"/>
        <xdr:cNvSpPr/>
      </xdr:nvSpPr>
      <xdr:spPr>
        <a:xfrm>
          <a:off x="3181350" y="3619500"/>
          <a:ext cx="4619625" cy="20383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171450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4171950"/>
        <a:ext cx="41910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304800</xdr:rowOff>
    </xdr:from>
    <xdr:to>
      <xdr:col>9</xdr:col>
      <xdr:colOff>523875</xdr:colOff>
      <xdr:row>24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2895600"/>
        <a:ext cx="4752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361950</xdr:colOff>
      <xdr:row>12</xdr:row>
      <xdr:rowOff>190500</xdr:rowOff>
    </xdr:from>
    <xdr:to>
      <xdr:col>25</xdr:col>
      <xdr:colOff>152400</xdr:colOff>
      <xdr:row>16</xdr:row>
      <xdr:rowOff>47625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16630650" y="2590800"/>
          <a:ext cx="2790825" cy="962025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28575</xdr:colOff>
      <xdr:row>11</xdr:row>
      <xdr:rowOff>190500</xdr:rowOff>
    </xdr:from>
    <xdr:to>
      <xdr:col>12</xdr:col>
      <xdr:colOff>895350</xdr:colOff>
      <xdr:row>12</xdr:row>
      <xdr:rowOff>190500</xdr:rowOff>
    </xdr:to>
    <xdr:sp macro="" textlink="">
      <xdr:nvSpPr>
        <xdr:cNvPr id="6" name="สี่เหลี่ยมผืนผ้า 5"/>
        <xdr:cNvSpPr/>
      </xdr:nvSpPr>
      <xdr:spPr>
        <a:xfrm>
          <a:off x="9382125" y="2400300"/>
          <a:ext cx="86677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20</xdr:col>
      <xdr:colOff>590550</xdr:colOff>
      <xdr:row>14</xdr:row>
      <xdr:rowOff>104775</xdr:rowOff>
    </xdr:from>
    <xdr:to>
      <xdr:col>22</xdr:col>
      <xdr:colOff>600075</xdr:colOff>
      <xdr:row>14</xdr:row>
      <xdr:rowOff>104775</xdr:rowOff>
    </xdr:to>
    <xdr:cxnSp macro="">
      <xdr:nvCxnSpPr>
        <xdr:cNvPr id="7" name="ตัวเชื่อมต่อตรง 6"/>
        <xdr:cNvCxnSpPr/>
      </xdr:nvCxnSpPr>
      <xdr:spPr>
        <a:xfrm>
          <a:off x="16859250" y="3000375"/>
          <a:ext cx="120967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9525</xdr:colOff>
      <xdr:row>13</xdr:row>
      <xdr:rowOff>257175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8078450" y="2847975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0</xdr:colOff>
      <xdr:row>15</xdr:row>
      <xdr:rowOff>19050</xdr:rowOff>
    </xdr:from>
    <xdr:to>
      <xdr:col>12</xdr:col>
      <xdr:colOff>895350</xdr:colOff>
      <xdr:row>16</xdr:row>
      <xdr:rowOff>9525</xdr:rowOff>
    </xdr:to>
    <xdr:sp macro="" textlink="">
      <xdr:nvSpPr>
        <xdr:cNvPr id="9" name="สี่เหลี่ยมผืนผ้า 8"/>
        <xdr:cNvSpPr/>
      </xdr:nvSpPr>
      <xdr:spPr>
        <a:xfrm>
          <a:off x="9353550" y="3219450"/>
          <a:ext cx="895350" cy="295275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21</xdr:col>
      <xdr:colOff>133350</xdr:colOff>
      <xdr:row>17</xdr:row>
      <xdr:rowOff>171450</xdr:rowOff>
    </xdr:from>
    <xdr:to>
      <xdr:col>25</xdr:col>
      <xdr:colOff>600075</xdr:colOff>
      <xdr:row>21</xdr:row>
      <xdr:rowOff>304800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17002125" y="3981450"/>
          <a:ext cx="2867025" cy="123825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342900</xdr:colOff>
      <xdr:row>19</xdr:row>
      <xdr:rowOff>57150</xdr:rowOff>
    </xdr:from>
    <xdr:to>
      <xdr:col>23</xdr:col>
      <xdr:colOff>57150</xdr:colOff>
      <xdr:row>19</xdr:row>
      <xdr:rowOff>57150</xdr:rowOff>
    </xdr:to>
    <xdr:cxnSp macro="">
      <xdr:nvCxnSpPr>
        <xdr:cNvPr id="11" name="ตัวเชื่อมต่อตรง 10"/>
        <xdr:cNvCxnSpPr/>
      </xdr:nvCxnSpPr>
      <xdr:spPr>
        <a:xfrm>
          <a:off x="17211675" y="4362450"/>
          <a:ext cx="9144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66675</xdr:colOff>
      <xdr:row>18</xdr:row>
      <xdr:rowOff>209550</xdr:rowOff>
    </xdr:from>
    <xdr:ext cx="733425" cy="800100"/>
    <xdr:sp macro="" textlink="">
      <xdr:nvSpPr>
        <xdr:cNvPr id="12" name="กล่องข้อความ 11"/>
        <xdr:cNvSpPr txBox="1"/>
      </xdr:nvSpPr>
      <xdr:spPr>
        <a:xfrm>
          <a:off x="18135600" y="4210050"/>
          <a:ext cx="733425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66675</xdr:colOff>
      <xdr:row>18</xdr:row>
      <xdr:rowOff>133350</xdr:rowOff>
    </xdr:from>
    <xdr:ext cx="1066800" cy="495300"/>
    <xdr:sp macro="" textlink="">
      <xdr:nvSpPr>
        <xdr:cNvPr id="13" name="กล่องข้อความ 12"/>
        <xdr:cNvSpPr txBox="1"/>
      </xdr:nvSpPr>
      <xdr:spPr>
        <a:xfrm>
          <a:off x="18735675" y="4133850"/>
          <a:ext cx="1066800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23</xdr:row>
      <xdr:rowOff>9525</xdr:rowOff>
    </xdr:from>
    <xdr:to>
      <xdr:col>10</xdr:col>
      <xdr:colOff>409575</xdr:colOff>
      <xdr:row>35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3438525"/>
        <a:ext cx="5591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1028700</xdr:colOff>
      <xdr:row>17</xdr:row>
      <xdr:rowOff>190500</xdr:rowOff>
    </xdr:from>
    <xdr:to>
      <xdr:col>15</xdr:col>
      <xdr:colOff>104775</xdr:colOff>
      <xdr:row>21</xdr:row>
      <xdr:rowOff>304800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9315450" y="2019300"/>
          <a:ext cx="2676525" cy="1219200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47625</xdr:colOff>
      <xdr:row>23</xdr:row>
      <xdr:rowOff>0</xdr:rowOff>
    </xdr:from>
    <xdr:to>
      <xdr:col>12</xdr:col>
      <xdr:colOff>895350</xdr:colOff>
      <xdr:row>23</xdr:row>
      <xdr:rowOff>190500</xdr:rowOff>
    </xdr:to>
    <xdr:sp macro="" textlink="">
      <xdr:nvSpPr>
        <xdr:cNvPr id="6" name="สี่เหลี่ยมผืนผ้า 5"/>
        <xdr:cNvSpPr/>
      </xdr:nvSpPr>
      <xdr:spPr>
        <a:xfrm>
          <a:off x="9401175" y="3429000"/>
          <a:ext cx="84772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419100</xdr:colOff>
      <xdr:row>19</xdr:row>
      <xdr:rowOff>104775</xdr:rowOff>
    </xdr:to>
    <xdr:cxnSp macro="">
      <xdr:nvCxnSpPr>
        <xdr:cNvPr id="7" name="ตัวเชื่อมต่อตรง 6"/>
        <xdr:cNvCxnSpPr/>
      </xdr:nvCxnSpPr>
      <xdr:spPr>
        <a:xfrm>
          <a:off x="9353550" y="2428875"/>
          <a:ext cx="131445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514350</xdr:colOff>
      <xdr:row>18</xdr:row>
      <xdr:rowOff>304800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0763250" y="232410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28575</xdr:colOff>
      <xdr:row>26</xdr:row>
      <xdr:rowOff>0</xdr:rowOff>
    </xdr:from>
    <xdr:to>
      <xdr:col>12</xdr:col>
      <xdr:colOff>895350</xdr:colOff>
      <xdr:row>26</xdr:row>
      <xdr:rowOff>304800</xdr:rowOff>
    </xdr:to>
    <xdr:sp macro="" textlink="">
      <xdr:nvSpPr>
        <xdr:cNvPr id="9" name="สี่เหลี่ยมผืนผ้า 8"/>
        <xdr:cNvSpPr/>
      </xdr:nvSpPr>
      <xdr:spPr>
        <a:xfrm>
          <a:off x="9382125" y="4229100"/>
          <a:ext cx="866775" cy="30480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762000</xdr:colOff>
      <xdr:row>23</xdr:row>
      <xdr:rowOff>190500</xdr:rowOff>
    </xdr:from>
    <xdr:to>
      <xdr:col>17</xdr:col>
      <xdr:colOff>152400</xdr:colOff>
      <xdr:row>27</xdr:row>
      <xdr:rowOff>304800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11010900" y="3619500"/>
          <a:ext cx="2781300" cy="121920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161925</xdr:colOff>
      <xdr:row>25</xdr:row>
      <xdr:rowOff>104775</xdr:rowOff>
    </xdr:from>
    <xdr:to>
      <xdr:col>15</xdr:col>
      <xdr:colOff>247650</xdr:colOff>
      <xdr:row>25</xdr:row>
      <xdr:rowOff>104775</xdr:rowOff>
    </xdr:to>
    <xdr:cxnSp macro="">
      <xdr:nvCxnSpPr>
        <xdr:cNvPr id="11" name="ตัวเชื่อมต่อตรง 10"/>
        <xdr:cNvCxnSpPr/>
      </xdr:nvCxnSpPr>
      <xdr:spPr>
        <a:xfrm>
          <a:off x="11172825" y="4029075"/>
          <a:ext cx="96202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257175</xdr:colOff>
      <xdr:row>24</xdr:row>
      <xdr:rowOff>257175</xdr:rowOff>
    </xdr:from>
    <xdr:ext cx="733425" cy="790575"/>
    <xdr:sp macro="" textlink="">
      <xdr:nvSpPr>
        <xdr:cNvPr id="12" name="กล่องข้อความ 11"/>
        <xdr:cNvSpPr txBox="1"/>
      </xdr:nvSpPr>
      <xdr:spPr>
        <a:xfrm>
          <a:off x="12144375" y="387667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876300</xdr:colOff>
      <xdr:row>24</xdr:row>
      <xdr:rowOff>161925</xdr:rowOff>
    </xdr:from>
    <xdr:ext cx="1057275" cy="495300"/>
    <xdr:sp macro="" textlink="">
      <xdr:nvSpPr>
        <xdr:cNvPr id="13" name="กล่องข้อความ 12"/>
        <xdr:cNvSpPr txBox="1"/>
      </xdr:nvSpPr>
      <xdr:spPr>
        <a:xfrm>
          <a:off x="12763500" y="3781425"/>
          <a:ext cx="1057275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23</xdr:row>
      <xdr:rowOff>9525</xdr:rowOff>
    </xdr:from>
    <xdr:to>
      <xdr:col>10</xdr:col>
      <xdr:colOff>409575</xdr:colOff>
      <xdr:row>35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4962525"/>
        <a:ext cx="5591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1047750</xdr:colOff>
      <xdr:row>17</xdr:row>
      <xdr:rowOff>180975</xdr:rowOff>
    </xdr:from>
    <xdr:to>
      <xdr:col>15</xdr:col>
      <xdr:colOff>123825</xdr:colOff>
      <xdr:row>21</xdr:row>
      <xdr:rowOff>304800</xdr:rowOff>
    </xdr:to>
    <xdr:sp macro="" textlink="">
      <xdr:nvSpPr>
        <xdr:cNvPr id="4" name="คำบรรยายภาพ: สี่เหลี่ยมมุมมน 3"/>
        <xdr:cNvSpPr/>
      </xdr:nvSpPr>
      <xdr:spPr>
        <a:xfrm>
          <a:off x="9334500" y="3533775"/>
          <a:ext cx="2676525" cy="1228725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6" name="สี่เหลี่ยมผืนผ้า 5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47625</xdr:colOff>
      <xdr:row>23</xdr:row>
      <xdr:rowOff>0</xdr:rowOff>
    </xdr:from>
    <xdr:to>
      <xdr:col>12</xdr:col>
      <xdr:colOff>895350</xdr:colOff>
      <xdr:row>23</xdr:row>
      <xdr:rowOff>190500</xdr:rowOff>
    </xdr:to>
    <xdr:sp macro="" textlink="">
      <xdr:nvSpPr>
        <xdr:cNvPr id="7" name="สี่เหลี่ยมผืนผ้า 6"/>
        <xdr:cNvSpPr/>
      </xdr:nvSpPr>
      <xdr:spPr>
        <a:xfrm>
          <a:off x="9401175" y="4953000"/>
          <a:ext cx="84772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419100</xdr:colOff>
      <xdr:row>19</xdr:row>
      <xdr:rowOff>104775</xdr:rowOff>
    </xdr:to>
    <xdr:cxnSp macro="">
      <xdr:nvCxnSpPr>
        <xdr:cNvPr id="9" name="ตัวเชื่อมต่อตรง 8"/>
        <xdr:cNvCxnSpPr/>
      </xdr:nvCxnSpPr>
      <xdr:spPr>
        <a:xfrm>
          <a:off x="9353550" y="3952875"/>
          <a:ext cx="131445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514350</xdr:colOff>
      <xdr:row>18</xdr:row>
      <xdr:rowOff>304800</xdr:rowOff>
    </xdr:from>
    <xdr:ext cx="1133475" cy="790575"/>
    <xdr:sp macro="" textlink="">
      <xdr:nvSpPr>
        <xdr:cNvPr id="12" name="กล่องข้อความ 11"/>
        <xdr:cNvSpPr txBox="1"/>
      </xdr:nvSpPr>
      <xdr:spPr>
        <a:xfrm>
          <a:off x="10763250" y="384810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28575</xdr:colOff>
      <xdr:row>26</xdr:row>
      <xdr:rowOff>0</xdr:rowOff>
    </xdr:from>
    <xdr:to>
      <xdr:col>12</xdr:col>
      <xdr:colOff>895350</xdr:colOff>
      <xdr:row>26</xdr:row>
      <xdr:rowOff>304800</xdr:rowOff>
    </xdr:to>
    <xdr:sp macro="" textlink="">
      <xdr:nvSpPr>
        <xdr:cNvPr id="14" name="สี่เหลี่ยมผืนผ้า 13"/>
        <xdr:cNvSpPr/>
      </xdr:nvSpPr>
      <xdr:spPr>
        <a:xfrm>
          <a:off x="9382125" y="5753100"/>
          <a:ext cx="866775" cy="30480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762000</xdr:colOff>
      <xdr:row>23</xdr:row>
      <xdr:rowOff>190500</xdr:rowOff>
    </xdr:from>
    <xdr:to>
      <xdr:col>17</xdr:col>
      <xdr:colOff>152400</xdr:colOff>
      <xdr:row>27</xdr:row>
      <xdr:rowOff>304800</xdr:rowOff>
    </xdr:to>
    <xdr:sp macro="" textlink="">
      <xdr:nvSpPr>
        <xdr:cNvPr id="15" name="คำบรรยายภาพ: สี่เหลี่ยมมุมมน 14"/>
        <xdr:cNvSpPr/>
      </xdr:nvSpPr>
      <xdr:spPr>
        <a:xfrm>
          <a:off x="11010900" y="5143500"/>
          <a:ext cx="2781300" cy="121920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161925</xdr:colOff>
      <xdr:row>25</xdr:row>
      <xdr:rowOff>104775</xdr:rowOff>
    </xdr:from>
    <xdr:to>
      <xdr:col>15</xdr:col>
      <xdr:colOff>247650</xdr:colOff>
      <xdr:row>25</xdr:row>
      <xdr:rowOff>104775</xdr:rowOff>
    </xdr:to>
    <xdr:cxnSp macro="">
      <xdr:nvCxnSpPr>
        <xdr:cNvPr id="16" name="ตัวเชื่อมต่อตรง 15"/>
        <xdr:cNvCxnSpPr/>
      </xdr:nvCxnSpPr>
      <xdr:spPr>
        <a:xfrm>
          <a:off x="11172825" y="5553075"/>
          <a:ext cx="96202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257175</xdr:colOff>
      <xdr:row>24</xdr:row>
      <xdr:rowOff>257175</xdr:rowOff>
    </xdr:from>
    <xdr:ext cx="733425" cy="790575"/>
    <xdr:sp macro="" textlink="">
      <xdr:nvSpPr>
        <xdr:cNvPr id="18" name="กล่องข้อความ 17"/>
        <xdr:cNvSpPr txBox="1"/>
      </xdr:nvSpPr>
      <xdr:spPr>
        <a:xfrm>
          <a:off x="12144375" y="540067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876300</xdr:colOff>
      <xdr:row>24</xdr:row>
      <xdr:rowOff>161925</xdr:rowOff>
    </xdr:from>
    <xdr:ext cx="1057275" cy="495300"/>
    <xdr:sp macro="" textlink="">
      <xdr:nvSpPr>
        <xdr:cNvPr id="21" name="กล่องข้อความ 20"/>
        <xdr:cNvSpPr txBox="1"/>
      </xdr:nvSpPr>
      <xdr:spPr>
        <a:xfrm>
          <a:off x="12763500" y="5305425"/>
          <a:ext cx="1057275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D4-60E7-4253-BE47-9CF2FB6B59D2}">
  <sheetPr>
    <tabColor rgb="FFC00000"/>
    <pageSetUpPr fitToPage="1"/>
  </sheetPr>
  <dimension ref="A2:T33"/>
  <sheetViews>
    <sheetView tabSelected="1" view="pageBreakPreview" zoomScaleSheetLayoutView="100" workbookViewId="0" topLeftCell="G1">
      <selection activeCell="O32" sqref="O32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149" t="s">
        <v>55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15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ht="15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ht="15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aca="true" t="shared" si="0" ref="N6:P6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ht="15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0.07894736842105263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>
        <f aca="true" t="shared" si="1" ref="J8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ht="15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0.2631578947368421</v>
      </c>
      <c r="L9" s="56"/>
      <c r="M9" s="13"/>
      <c r="N9" s="22"/>
      <c r="O9" s="13"/>
      <c r="P9" s="17">
        <f>100/5</f>
        <v>20</v>
      </c>
      <c r="Q9" s="17">
        <f aca="true" t="shared" si="2" ref="Q9:T9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ht="24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aca="true" t="shared" si="3" ref="K10">J10/$J$11</f>
        <v>0.4934210526315789</v>
      </c>
      <c r="L10" s="56"/>
      <c r="M10" s="13"/>
      <c r="N10" s="22"/>
      <c r="O10" s="13"/>
      <c r="P10" s="19"/>
      <c r="Q10" s="18">
        <f>100/4</f>
        <v>25</v>
      </c>
      <c r="R10" s="18">
        <f aca="true" t="shared" si="4" ref="R10:T10">100/4</f>
        <v>25</v>
      </c>
      <c r="S10" s="18">
        <f t="shared" si="4"/>
        <v>25</v>
      </c>
      <c r="T10" s="60">
        <f t="shared" si="4"/>
        <v>25</v>
      </c>
    </row>
    <row r="11" spans="1:20" s="1" customFormat="1" ht="24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ht="24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ht="24">
      <c r="A15" s="3"/>
      <c r="B15" s="3"/>
      <c r="C15" s="3"/>
      <c r="D15" s="50"/>
      <c r="E15" s="2"/>
      <c r="F15" s="3"/>
      <c r="K15" s="3"/>
      <c r="L15" s="26" t="s">
        <v>41</v>
      </c>
      <c r="M15" s="33">
        <f>(M6*J6/100)</f>
        <v>125000</v>
      </c>
      <c r="N15" s="33">
        <f>(N7*J7/100)+(N6*J6/100)</f>
        <v>245000</v>
      </c>
      <c r="O15" s="33">
        <f>(O7*J7/100)+(O6*J6/100)</f>
        <v>245000</v>
      </c>
      <c r="P15" s="33">
        <f>(P9*J9/100)+(P6*J6/100)</f>
        <v>285000</v>
      </c>
      <c r="Q15" s="33">
        <f>(Q10*J10/100)+(Q9*J9/100)</f>
        <v>535000</v>
      </c>
      <c r="R15" s="33">
        <f>(R10*J10/100)+(R9*J9/100)</f>
        <v>535000</v>
      </c>
      <c r="S15" s="33">
        <f>(S10*J10/100)+(S9*J9/100)</f>
        <v>535000</v>
      </c>
      <c r="T15" s="64">
        <f>(T10*J10/100)+(T9*J9/100)</f>
        <v>535000</v>
      </c>
    </row>
    <row r="16" spans="1:20" s="1" customFormat="1" ht="24">
      <c r="A16" s="3"/>
      <c r="B16" s="3"/>
      <c r="C16" s="3"/>
      <c r="D16" s="50"/>
      <c r="E16" s="2"/>
      <c r="F16" s="3"/>
      <c r="K16" s="3"/>
      <c r="L16" s="26" t="s">
        <v>42</v>
      </c>
      <c r="M16" s="33">
        <f>M15</f>
        <v>125000</v>
      </c>
      <c r="N16" s="33">
        <f>M16+N15</f>
        <v>370000</v>
      </c>
      <c r="O16" s="33">
        <f aca="true" t="shared" si="5" ref="O16:T16">N16+O15</f>
        <v>615000</v>
      </c>
      <c r="P16" s="33">
        <f t="shared" si="5"/>
        <v>900000</v>
      </c>
      <c r="Q16" s="33">
        <f t="shared" si="5"/>
        <v>1435000</v>
      </c>
      <c r="R16" s="33">
        <f t="shared" si="5"/>
        <v>1970000</v>
      </c>
      <c r="S16" s="33">
        <f t="shared" si="5"/>
        <v>2505000</v>
      </c>
      <c r="T16" s="64">
        <f t="shared" si="5"/>
        <v>3040000</v>
      </c>
    </row>
    <row r="17" spans="1:20" s="1" customFormat="1" ht="24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ht="24">
      <c r="A18" s="3"/>
      <c r="B18" s="3"/>
      <c r="C18" s="3"/>
      <c r="D18" s="50"/>
      <c r="E18" s="2"/>
      <c r="F18" s="3"/>
      <c r="L18" s="26" t="s">
        <v>24</v>
      </c>
      <c r="M18" s="27">
        <f>((M15/J11)*100%)</f>
        <v>0.04111842105263158</v>
      </c>
      <c r="N18" s="27">
        <f>((N15/J11)*100%)</f>
        <v>0.0805921052631579</v>
      </c>
      <c r="O18" s="27">
        <f>((O15/J11)*100%)</f>
        <v>0.0805921052631579</v>
      </c>
      <c r="P18" s="27">
        <f>((P15/J11)*100%)</f>
        <v>0.09375</v>
      </c>
      <c r="Q18" s="27">
        <f>((Q15/J11)*100%)</f>
        <v>0.17598684210526316</v>
      </c>
      <c r="R18" s="27">
        <f>((R15/J11)*100%)</f>
        <v>0.17598684210526316</v>
      </c>
      <c r="S18" s="27">
        <f>((S15/J11)*100%)</f>
        <v>0.17598684210526316</v>
      </c>
      <c r="T18" s="66">
        <f>((T15/J11)*100%)</f>
        <v>0.17598684210526316</v>
      </c>
    </row>
    <row r="19" spans="1:20" s="1" customFormat="1" ht="15">
      <c r="A19" s="3"/>
      <c r="B19" s="3"/>
      <c r="C19" s="3"/>
      <c r="D19" s="50"/>
      <c r="E19" s="2"/>
      <c r="F19" s="3"/>
      <c r="L19" s="26" t="s">
        <v>25</v>
      </c>
      <c r="M19" s="27">
        <f>M18</f>
        <v>0.04111842105263158</v>
      </c>
      <c r="N19" s="27">
        <f>M19+N18</f>
        <v>0.12171052631578948</v>
      </c>
      <c r="O19" s="27">
        <f>N19+O18</f>
        <v>0.20230263157894737</v>
      </c>
      <c r="P19" s="27">
        <f>O19+P18</f>
        <v>0.29605263157894735</v>
      </c>
      <c r="Q19" s="27">
        <f aca="true" t="shared" si="6" ref="Q19:T19">P19+Q18</f>
        <v>0.4720394736842105</v>
      </c>
      <c r="R19" s="27">
        <f t="shared" si="6"/>
        <v>0.6480263157894737</v>
      </c>
      <c r="S19" s="27">
        <f t="shared" si="6"/>
        <v>0.8240131578947368</v>
      </c>
      <c r="T19" s="66">
        <f t="shared" si="6"/>
        <v>1</v>
      </c>
    </row>
    <row r="20" spans="1:20" s="1" customFormat="1" ht="15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ht="15">
      <c r="A21" s="3"/>
      <c r="B21" s="3"/>
      <c r="C21" s="3"/>
      <c r="D21" s="50"/>
      <c r="E21" s="2"/>
      <c r="F21" s="3"/>
      <c r="L21" s="26" t="s">
        <v>26</v>
      </c>
      <c r="M21" s="27">
        <f>M15*0.2/$J$11</f>
        <v>0.008223684210526315</v>
      </c>
      <c r="N21" s="27">
        <f>N15*0.7/$J$11</f>
        <v>0.05641447368421053</v>
      </c>
      <c r="O21" s="27">
        <f>O15*0.5/$J$11</f>
        <v>0.04029605263157895</v>
      </c>
      <c r="P21" s="27">
        <f>P15*0.7/$J$11</f>
        <v>0.065625</v>
      </c>
      <c r="Q21" s="27">
        <f>Q15*0.7/$J$11</f>
        <v>0.12319078947368421</v>
      </c>
      <c r="R21" s="27">
        <f aca="true" t="shared" si="7" ref="R21:S21">R15*0.7/$J$11</f>
        <v>0.12319078947368421</v>
      </c>
      <c r="S21" s="27">
        <f t="shared" si="7"/>
        <v>0.12319078947368421</v>
      </c>
      <c r="T21" s="66">
        <f>T15*0.2/$J$11</f>
        <v>0.03519736842105263</v>
      </c>
    </row>
    <row r="22" spans="1:20" s="1" customFormat="1" ht="15">
      <c r="A22" s="3"/>
      <c r="B22" s="3"/>
      <c r="C22" s="3"/>
      <c r="D22" s="50"/>
      <c r="E22" s="2"/>
      <c r="F22" s="3"/>
      <c r="L22" s="26" t="s">
        <v>27</v>
      </c>
      <c r="M22" s="27">
        <f>M21</f>
        <v>0.008223684210526315</v>
      </c>
      <c r="N22" s="27">
        <f>M22+N21</f>
        <v>0.06463815789473684</v>
      </c>
      <c r="O22" s="27">
        <f aca="true" t="shared" si="8" ref="O22:T22">N22+O21</f>
        <v>0.1049342105263158</v>
      </c>
      <c r="P22" s="31">
        <f t="shared" si="8"/>
        <v>0.17055921052631579</v>
      </c>
      <c r="Q22" s="47">
        <f t="shared" si="8"/>
        <v>0.29375</v>
      </c>
      <c r="R22" s="35">
        <f t="shared" si="8"/>
        <v>0.41694078947368424</v>
      </c>
      <c r="S22" s="31">
        <f t="shared" si="8"/>
        <v>0.5401315789473684</v>
      </c>
      <c r="T22" s="66">
        <f t="shared" si="8"/>
        <v>0.575328947368421</v>
      </c>
    </row>
    <row r="23" spans="1:20" s="1" customFormat="1" ht="15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ht="15">
      <c r="A24" s="3"/>
      <c r="B24" s="3"/>
      <c r="C24" s="3"/>
      <c r="D24" s="50"/>
      <c r="E24" s="2"/>
      <c r="L24" s="26" t="s">
        <v>28</v>
      </c>
      <c r="M24" s="28">
        <f>M19-M22</f>
        <v>0.03289473684210527</v>
      </c>
      <c r="N24" s="28">
        <f aca="true" t="shared" si="9" ref="N24:T24">N19-N22</f>
        <v>0.057072368421052636</v>
      </c>
      <c r="O24" s="28">
        <f t="shared" si="9"/>
        <v>0.09736842105263158</v>
      </c>
      <c r="P24" s="28">
        <f t="shared" si="9"/>
        <v>0.12549342105263156</v>
      </c>
      <c r="Q24" s="30">
        <f t="shared" si="9"/>
        <v>0.1782894736842105</v>
      </c>
      <c r="R24" s="28">
        <f t="shared" si="9"/>
        <v>0.23108552631578944</v>
      </c>
      <c r="S24" s="28">
        <f t="shared" si="9"/>
        <v>0.28388157894736843</v>
      </c>
      <c r="T24" s="68">
        <f t="shared" si="9"/>
        <v>0.424671052631579</v>
      </c>
    </row>
    <row r="25" spans="1:20" s="1" customFormat="1" ht="15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ht="15">
      <c r="A26" s="3"/>
      <c r="B26" s="3"/>
      <c r="C26" s="3"/>
      <c r="D26" s="50"/>
      <c r="E26" s="2"/>
      <c r="K26" s="3"/>
      <c r="L26" s="26" t="s">
        <v>44</v>
      </c>
      <c r="M26" s="27">
        <f aca="true" t="shared" si="10" ref="M26:T26">M15/2/$J$11</f>
        <v>0.02055921052631579</v>
      </c>
      <c r="N26" s="27">
        <f t="shared" si="10"/>
        <v>0.04029605263157895</v>
      </c>
      <c r="O26" s="27">
        <f t="shared" si="10"/>
        <v>0.04029605263157895</v>
      </c>
      <c r="P26" s="27">
        <f t="shared" si="10"/>
        <v>0.046875</v>
      </c>
      <c r="Q26" s="27">
        <f t="shared" si="10"/>
        <v>0.08799342105263158</v>
      </c>
      <c r="R26" s="27">
        <f t="shared" si="10"/>
        <v>0.08799342105263158</v>
      </c>
      <c r="S26" s="27">
        <f t="shared" si="10"/>
        <v>0.08799342105263158</v>
      </c>
      <c r="T26" s="66">
        <f t="shared" si="10"/>
        <v>0.08799342105263158</v>
      </c>
    </row>
    <row r="27" spans="1:20" s="1" customFormat="1" ht="15">
      <c r="A27" s="3"/>
      <c r="B27" s="3"/>
      <c r="C27" s="3"/>
      <c r="D27" s="50"/>
      <c r="E27" s="2"/>
      <c r="L27" s="26" t="s">
        <v>45</v>
      </c>
      <c r="M27" s="28">
        <f aca="true" t="shared" si="11" ref="M27:T27">M26-M21</f>
        <v>0.012335526315789476</v>
      </c>
      <c r="N27" s="28">
        <f t="shared" si="11"/>
        <v>-0.01611842105263158</v>
      </c>
      <c r="O27" s="28">
        <f t="shared" si="11"/>
        <v>0</v>
      </c>
      <c r="P27" s="28">
        <f t="shared" si="11"/>
        <v>-0.018750000000000003</v>
      </c>
      <c r="Q27" s="28">
        <f t="shared" si="11"/>
        <v>-0.03519736842105263</v>
      </c>
      <c r="R27" s="29">
        <f t="shared" si="11"/>
        <v>-0.03519736842105263</v>
      </c>
      <c r="S27" s="28">
        <f t="shared" si="11"/>
        <v>-0.03519736842105263</v>
      </c>
      <c r="T27" s="68">
        <f t="shared" si="11"/>
        <v>0.05279605263157895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66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D2:T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796D-943B-46C5-A90A-0339D1C393A8}">
  <sheetPr>
    <tabColor rgb="FFEA3A16"/>
    <pageSetUpPr fitToPage="1"/>
  </sheetPr>
  <dimension ref="A2:T33"/>
  <sheetViews>
    <sheetView view="pageBreakPreview" zoomScale="50" zoomScaleSheetLayoutView="50" workbookViewId="0" topLeftCell="A1">
      <selection activeCell="G29" sqref="G29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48"/>
      <c r="E2" s="49"/>
      <c r="F2" s="150" t="s">
        <v>57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15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ht="15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ht="15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aca="true" t="shared" si="0" ref="N6:P6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ht="15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0.07894736842105263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>
        <f aca="true" t="shared" si="1" ref="J8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ht="15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0.2631578947368421</v>
      </c>
      <c r="L9" s="56"/>
      <c r="M9" s="13"/>
      <c r="N9" s="22"/>
      <c r="O9" s="13"/>
      <c r="P9" s="17">
        <f>100/5</f>
        <v>20</v>
      </c>
      <c r="Q9" s="17">
        <f aca="true" t="shared" si="2" ref="Q9:T9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ht="15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aca="true" t="shared" si="3" ref="K10">J10/$J$11</f>
        <v>0.4934210526315789</v>
      </c>
      <c r="L10" s="56"/>
      <c r="M10" s="13"/>
      <c r="N10" s="22"/>
      <c r="O10" s="13"/>
      <c r="P10" s="19"/>
      <c r="Q10" s="18">
        <f>100/4</f>
        <v>25</v>
      </c>
      <c r="R10" s="18">
        <f aca="true" t="shared" si="4" ref="R10:T10">100/4</f>
        <v>25</v>
      </c>
      <c r="S10" s="18">
        <f t="shared" si="4"/>
        <v>25</v>
      </c>
      <c r="T10" s="60">
        <f t="shared" si="4"/>
        <v>25</v>
      </c>
    </row>
    <row r="11" spans="1:20" s="1" customFormat="1" ht="15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ht="15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ht="15">
      <c r="A15" s="3"/>
      <c r="B15" s="3"/>
      <c r="C15" s="3"/>
      <c r="D15" s="50"/>
      <c r="E15" s="2"/>
      <c r="F15" s="3"/>
      <c r="K15" s="3"/>
      <c r="L15" s="26" t="s">
        <v>41</v>
      </c>
      <c r="M15" s="123">
        <f>(M6*J6/100)</f>
        <v>125000</v>
      </c>
      <c r="N15" s="123">
        <f>(N7*J7/100)+(N6*J6/100)</f>
        <v>245000</v>
      </c>
      <c r="O15" s="123">
        <f>(O7*J7/100)+(O6*J6/100)</f>
        <v>245000</v>
      </c>
      <c r="P15" s="123">
        <f>(P9*J9/100)+(P6*J6/100)</f>
        <v>285000</v>
      </c>
      <c r="Q15" s="123">
        <f>(Q10*J10/100)+(Q9*J9/100)</f>
        <v>535000</v>
      </c>
      <c r="R15" s="123">
        <f>(R10*J10/100)+(R9*J9/100)</f>
        <v>535000</v>
      </c>
      <c r="S15" s="123">
        <f>(S10*J10/100)+(S9*J9/100)</f>
        <v>535000</v>
      </c>
      <c r="T15" s="124">
        <f>(T10*J10/100)+(T9*J9/100)</f>
        <v>535000</v>
      </c>
    </row>
    <row r="16" spans="1:20" s="1" customFormat="1" ht="15">
      <c r="A16" s="3"/>
      <c r="B16" s="3"/>
      <c r="C16" s="3"/>
      <c r="D16" s="50"/>
      <c r="E16" s="2"/>
      <c r="F16" s="3"/>
      <c r="K16" s="3"/>
      <c r="L16" s="26" t="s">
        <v>42</v>
      </c>
      <c r="M16" s="123">
        <f>M15</f>
        <v>125000</v>
      </c>
      <c r="N16" s="123">
        <f>M16+N15</f>
        <v>370000</v>
      </c>
      <c r="O16" s="123">
        <f aca="true" t="shared" si="5" ref="O16:T16">N16+O15</f>
        <v>615000</v>
      </c>
      <c r="P16" s="123">
        <f t="shared" si="5"/>
        <v>900000</v>
      </c>
      <c r="Q16" s="123">
        <f t="shared" si="5"/>
        <v>1435000</v>
      </c>
      <c r="R16" s="123">
        <f t="shared" si="5"/>
        <v>1970000</v>
      </c>
      <c r="S16" s="123">
        <f t="shared" si="5"/>
        <v>2505000</v>
      </c>
      <c r="T16" s="124">
        <f t="shared" si="5"/>
        <v>3040000</v>
      </c>
    </row>
    <row r="17" spans="1:20" s="1" customFormat="1" ht="15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ht="15">
      <c r="A18" s="3"/>
      <c r="B18" s="3"/>
      <c r="C18" s="3"/>
      <c r="D18" s="50"/>
      <c r="E18" s="2"/>
      <c r="F18" s="3"/>
      <c r="L18" s="26" t="s">
        <v>24</v>
      </c>
      <c r="M18" s="125">
        <f>((M15/J11)*100%)</f>
        <v>0.04111842105263158</v>
      </c>
      <c r="N18" s="125">
        <f>((N15/J11)*100%)</f>
        <v>0.0805921052631579</v>
      </c>
      <c r="O18" s="125">
        <f>((O15/J11)*100%)</f>
        <v>0.0805921052631579</v>
      </c>
      <c r="P18" s="125">
        <f>((P15/J11)*100%)</f>
        <v>0.09375</v>
      </c>
      <c r="Q18" s="125">
        <f>((Q15/J11)*100%)</f>
        <v>0.17598684210526316</v>
      </c>
      <c r="R18" s="125">
        <f>((R15/J11)*100%)</f>
        <v>0.17598684210526316</v>
      </c>
      <c r="S18" s="125">
        <f>((S15/J11)*100%)</f>
        <v>0.17598684210526316</v>
      </c>
      <c r="T18" s="126">
        <f>((T15/J11)*100%)</f>
        <v>0.17598684210526316</v>
      </c>
    </row>
    <row r="19" spans="1:20" s="1" customFormat="1" ht="15">
      <c r="A19" s="3"/>
      <c r="B19" s="3"/>
      <c r="C19" s="3"/>
      <c r="D19" s="50"/>
      <c r="E19" s="2"/>
      <c r="F19" s="3"/>
      <c r="L19" s="26" t="s">
        <v>25</v>
      </c>
      <c r="M19" s="125">
        <f>M18</f>
        <v>0.04111842105263158</v>
      </c>
      <c r="N19" s="125">
        <f>M19+N18</f>
        <v>0.12171052631578948</v>
      </c>
      <c r="O19" s="125">
        <f>N19+O18</f>
        <v>0.20230263157894737</v>
      </c>
      <c r="P19" s="125">
        <f>O19+P18</f>
        <v>0.29605263157894735</v>
      </c>
      <c r="Q19" s="125">
        <f aca="true" t="shared" si="6" ref="Q19:T19">P19+Q18</f>
        <v>0.4720394736842105</v>
      </c>
      <c r="R19" s="125">
        <f t="shared" si="6"/>
        <v>0.6480263157894737</v>
      </c>
      <c r="S19" s="125">
        <f t="shared" si="6"/>
        <v>0.8240131578947368</v>
      </c>
      <c r="T19" s="126">
        <f t="shared" si="6"/>
        <v>1</v>
      </c>
    </row>
    <row r="20" spans="1:20" s="1" customFormat="1" ht="15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ht="15">
      <c r="A21" s="3"/>
      <c r="B21" s="3"/>
      <c r="C21" s="3"/>
      <c r="D21" s="50"/>
      <c r="E21" s="2"/>
      <c r="F21" s="3"/>
      <c r="L21" s="26" t="s">
        <v>26</v>
      </c>
      <c r="M21" s="125">
        <f>M15*0.2/$J$11</f>
        <v>0.008223684210526315</v>
      </c>
      <c r="N21" s="125">
        <f>N15*0.7/$J$11</f>
        <v>0.05641447368421053</v>
      </c>
      <c r="O21" s="125">
        <f>O15*0.5/$J$11</f>
        <v>0.04029605263157895</v>
      </c>
      <c r="P21" s="125">
        <f>P15*0.7/$J$11</f>
        <v>0.065625</v>
      </c>
      <c r="Q21" s="125">
        <f>Q15*0.7/$J$11</f>
        <v>0.12319078947368421</v>
      </c>
      <c r="R21" s="125">
        <f aca="true" t="shared" si="7" ref="R21:S21">R15*0.7/$J$11</f>
        <v>0.12319078947368421</v>
      </c>
      <c r="S21" s="125">
        <f t="shared" si="7"/>
        <v>0.12319078947368421</v>
      </c>
      <c r="T21" s="126">
        <f>T15*0.2/$J$11</f>
        <v>0.03519736842105263</v>
      </c>
    </row>
    <row r="22" spans="1:20" s="1" customFormat="1" ht="15">
      <c r="A22" s="3"/>
      <c r="B22" s="3"/>
      <c r="C22" s="3"/>
      <c r="D22" s="50"/>
      <c r="E22" s="2"/>
      <c r="F22" s="3"/>
      <c r="L22" s="26" t="s">
        <v>27</v>
      </c>
      <c r="M22" s="125">
        <f>M21</f>
        <v>0.008223684210526315</v>
      </c>
      <c r="N22" s="125">
        <f>M22+N21</f>
        <v>0.06463815789473684</v>
      </c>
      <c r="O22" s="125">
        <f aca="true" t="shared" si="8" ref="O22:T22">N22+O21</f>
        <v>0.1049342105263158</v>
      </c>
      <c r="P22" s="127">
        <f t="shared" si="8"/>
        <v>0.17055921052631579</v>
      </c>
      <c r="Q22" s="127">
        <f t="shared" si="8"/>
        <v>0.29375</v>
      </c>
      <c r="R22" s="127">
        <f t="shared" si="8"/>
        <v>0.41694078947368424</v>
      </c>
      <c r="S22" s="127">
        <f t="shared" si="8"/>
        <v>0.5401315789473684</v>
      </c>
      <c r="T22" s="126">
        <f t="shared" si="8"/>
        <v>0.575328947368421</v>
      </c>
    </row>
    <row r="23" spans="1:20" s="1" customFormat="1" ht="15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ht="15">
      <c r="A24" s="3"/>
      <c r="B24" s="3"/>
      <c r="C24" s="3"/>
      <c r="D24" s="50"/>
      <c r="E24" s="2"/>
      <c r="L24" s="26" t="s">
        <v>28</v>
      </c>
      <c r="M24" s="128">
        <f>M19-M22</f>
        <v>0.03289473684210527</v>
      </c>
      <c r="N24" s="128">
        <f aca="true" t="shared" si="9" ref="N24:T24">N19-N22</f>
        <v>0.057072368421052636</v>
      </c>
      <c r="O24" s="128">
        <f t="shared" si="9"/>
        <v>0.09736842105263158</v>
      </c>
      <c r="P24" s="128">
        <f t="shared" si="9"/>
        <v>0.12549342105263156</v>
      </c>
      <c r="Q24" s="128">
        <f t="shared" si="9"/>
        <v>0.1782894736842105</v>
      </c>
      <c r="R24" s="128">
        <f t="shared" si="9"/>
        <v>0.23108552631578944</v>
      </c>
      <c r="S24" s="128">
        <f t="shared" si="9"/>
        <v>0.28388157894736843</v>
      </c>
      <c r="T24" s="129">
        <f t="shared" si="9"/>
        <v>0.424671052631579</v>
      </c>
    </row>
    <row r="25" spans="1:20" s="1" customFormat="1" ht="15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ht="15">
      <c r="A26" s="3"/>
      <c r="B26" s="3"/>
      <c r="C26" s="3"/>
      <c r="D26" s="50"/>
      <c r="E26" s="2"/>
      <c r="K26" s="3"/>
      <c r="L26" s="26" t="s">
        <v>44</v>
      </c>
      <c r="M26" s="125">
        <f aca="true" t="shared" si="10" ref="M26:T26">M15/2/$J$11</f>
        <v>0.02055921052631579</v>
      </c>
      <c r="N26" s="125">
        <f t="shared" si="10"/>
        <v>0.04029605263157895</v>
      </c>
      <c r="O26" s="125">
        <f t="shared" si="10"/>
        <v>0.04029605263157895</v>
      </c>
      <c r="P26" s="125">
        <f t="shared" si="10"/>
        <v>0.046875</v>
      </c>
      <c r="Q26" s="125">
        <f t="shared" si="10"/>
        <v>0.08799342105263158</v>
      </c>
      <c r="R26" s="125">
        <f t="shared" si="10"/>
        <v>0.08799342105263158</v>
      </c>
      <c r="S26" s="125">
        <f t="shared" si="10"/>
        <v>0.08799342105263158</v>
      </c>
      <c r="T26" s="126">
        <f t="shared" si="10"/>
        <v>0.08799342105263158</v>
      </c>
    </row>
    <row r="27" spans="1:20" s="1" customFormat="1" ht="15">
      <c r="A27" s="3"/>
      <c r="B27" s="3"/>
      <c r="C27" s="3"/>
      <c r="D27" s="50"/>
      <c r="E27" s="2"/>
      <c r="L27" s="26" t="s">
        <v>45</v>
      </c>
      <c r="M27" s="128">
        <f aca="true" t="shared" si="11" ref="M27:T27">M26-M21</f>
        <v>0.012335526315789476</v>
      </c>
      <c r="N27" s="128">
        <f t="shared" si="11"/>
        <v>-0.01611842105263158</v>
      </c>
      <c r="O27" s="128">
        <f t="shared" si="11"/>
        <v>0</v>
      </c>
      <c r="P27" s="128">
        <f t="shared" si="11"/>
        <v>-0.018750000000000003</v>
      </c>
      <c r="Q27" s="128">
        <f t="shared" si="11"/>
        <v>-0.03519736842105263</v>
      </c>
      <c r="R27" s="128">
        <f t="shared" si="11"/>
        <v>-0.03519736842105263</v>
      </c>
      <c r="S27" s="128">
        <f t="shared" si="11"/>
        <v>-0.03519736842105263</v>
      </c>
      <c r="T27" s="129">
        <f t="shared" si="11"/>
        <v>0.05279605263157895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67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69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N32" s="1" t="s">
        <v>68</v>
      </c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F2:T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B3BD-1647-4335-B4E2-A1459A274EAE}">
  <sheetPr>
    <tabColor rgb="FFEA3A16"/>
    <pageSetUpPr fitToPage="1"/>
  </sheetPr>
  <dimension ref="A2:T33"/>
  <sheetViews>
    <sheetView view="pageBreakPreview" zoomScale="80" zoomScaleSheetLayoutView="80" workbookViewId="0" topLeftCell="B11">
      <selection activeCell="I32" sqref="I32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149" t="s">
        <v>56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24.75" thickBot="1">
      <c r="A3" s="3"/>
      <c r="B3" s="3"/>
      <c r="C3" s="3"/>
      <c r="D3" s="50"/>
      <c r="E3" s="2"/>
      <c r="L3" s="2"/>
      <c r="M3" s="80">
        <v>1</v>
      </c>
      <c r="N3" s="80">
        <v>2</v>
      </c>
      <c r="O3" s="80">
        <v>3</v>
      </c>
      <c r="P3" s="80">
        <v>4</v>
      </c>
      <c r="Q3" s="80">
        <v>5</v>
      </c>
      <c r="R3" s="80">
        <v>6</v>
      </c>
      <c r="S3" s="80">
        <v>7</v>
      </c>
      <c r="T3" s="135">
        <v>8</v>
      </c>
    </row>
    <row r="4" spans="1:20" s="79" customFormat="1" ht="27.75">
      <c r="A4" s="74"/>
      <c r="B4" s="74"/>
      <c r="C4" s="74"/>
      <c r="D4" s="122" t="s">
        <v>46</v>
      </c>
      <c r="E4" s="154" t="s">
        <v>43</v>
      </c>
      <c r="F4" s="154"/>
      <c r="G4" s="113" t="s">
        <v>29</v>
      </c>
      <c r="H4" s="113" t="s">
        <v>30</v>
      </c>
      <c r="I4" s="113" t="s">
        <v>31</v>
      </c>
      <c r="J4" s="113" t="s">
        <v>32</v>
      </c>
      <c r="K4" s="114" t="s">
        <v>33</v>
      </c>
      <c r="L4" s="76"/>
      <c r="M4" s="115" t="s">
        <v>53</v>
      </c>
      <c r="N4" s="115" t="s">
        <v>53</v>
      </c>
      <c r="O4" s="115" t="s">
        <v>53</v>
      </c>
      <c r="P4" s="115" t="s">
        <v>53</v>
      </c>
      <c r="Q4" s="115" t="s">
        <v>53</v>
      </c>
      <c r="R4" s="115" t="s">
        <v>53</v>
      </c>
      <c r="S4" s="115" t="s">
        <v>53</v>
      </c>
      <c r="T4" s="136" t="s">
        <v>53</v>
      </c>
    </row>
    <row r="5" spans="1:20" s="1" customFormat="1" ht="15">
      <c r="A5" s="3"/>
      <c r="B5" s="3"/>
      <c r="C5" s="3"/>
      <c r="D5" s="121">
        <v>1</v>
      </c>
      <c r="E5" s="9" t="s">
        <v>34</v>
      </c>
      <c r="K5" s="51"/>
      <c r="L5" s="2"/>
      <c r="M5" s="86"/>
      <c r="N5" s="97"/>
      <c r="O5" s="86"/>
      <c r="P5" s="86"/>
      <c r="Q5" s="86"/>
      <c r="R5" s="86"/>
      <c r="S5" s="86"/>
      <c r="T5" s="137"/>
    </row>
    <row r="6" spans="1:20" s="1" customFormat="1" ht="15">
      <c r="A6" s="3"/>
      <c r="B6" s="3"/>
      <c r="C6" s="3"/>
      <c r="D6" s="50"/>
      <c r="E6" s="152" t="s">
        <v>54</v>
      </c>
      <c r="F6" s="153"/>
      <c r="G6" s="80" t="s">
        <v>39</v>
      </c>
      <c r="H6" s="80"/>
      <c r="I6" s="81"/>
      <c r="J6" s="81"/>
      <c r="K6" s="109"/>
      <c r="L6" s="56"/>
      <c r="M6" s="86"/>
      <c r="N6" s="97"/>
      <c r="O6" s="86"/>
      <c r="P6" s="86"/>
      <c r="Q6" s="86"/>
      <c r="R6" s="86"/>
      <c r="S6" s="86"/>
      <c r="T6" s="137"/>
    </row>
    <row r="7" spans="1:20" s="1" customFormat="1" ht="15">
      <c r="A7" s="3"/>
      <c r="B7" s="3"/>
      <c r="C7" s="3"/>
      <c r="D7" s="50"/>
      <c r="E7" s="152" t="s">
        <v>54</v>
      </c>
      <c r="F7" s="153"/>
      <c r="G7" s="80" t="s">
        <v>39</v>
      </c>
      <c r="H7" s="80"/>
      <c r="I7" s="81"/>
      <c r="J7" s="81"/>
      <c r="K7" s="109"/>
      <c r="L7" s="56"/>
      <c r="M7" s="86"/>
      <c r="N7" s="97"/>
      <c r="O7" s="86"/>
      <c r="P7" s="86"/>
      <c r="Q7" s="86"/>
      <c r="R7" s="86"/>
      <c r="S7" s="86"/>
      <c r="T7" s="13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/>
      <c r="K8" s="51"/>
      <c r="L8" s="2"/>
      <c r="M8" s="86"/>
      <c r="N8" s="97"/>
      <c r="O8" s="86"/>
      <c r="P8" s="86"/>
      <c r="Q8" s="86"/>
      <c r="R8" s="86"/>
      <c r="S8" s="86"/>
      <c r="T8" s="137"/>
    </row>
    <row r="9" spans="1:20" s="1" customFormat="1" ht="15">
      <c r="A9" s="3"/>
      <c r="B9" s="3"/>
      <c r="C9" s="3"/>
      <c r="D9" s="50"/>
      <c r="E9" s="152" t="s">
        <v>54</v>
      </c>
      <c r="F9" s="153"/>
      <c r="G9" s="80" t="s">
        <v>40</v>
      </c>
      <c r="H9" s="80"/>
      <c r="I9" s="81"/>
      <c r="J9" s="81"/>
      <c r="K9" s="109"/>
      <c r="L9" s="56"/>
      <c r="M9" s="86"/>
      <c r="N9" s="97"/>
      <c r="O9" s="86"/>
      <c r="P9" s="86"/>
      <c r="Q9" s="86"/>
      <c r="R9" s="86"/>
      <c r="S9" s="86"/>
      <c r="T9" s="137"/>
    </row>
    <row r="10" spans="1:20" s="1" customFormat="1" ht="15">
      <c r="A10" s="3"/>
      <c r="B10" s="3"/>
      <c r="C10" s="3"/>
      <c r="D10" s="50"/>
      <c r="E10" s="152" t="s">
        <v>54</v>
      </c>
      <c r="F10" s="153"/>
      <c r="G10" s="80" t="s">
        <v>40</v>
      </c>
      <c r="H10" s="80"/>
      <c r="I10" s="81"/>
      <c r="J10" s="81"/>
      <c r="K10" s="109"/>
      <c r="L10" s="56"/>
      <c r="M10" s="86"/>
      <c r="N10" s="97"/>
      <c r="O10" s="86"/>
      <c r="P10" s="86"/>
      <c r="Q10" s="86"/>
      <c r="R10" s="86"/>
      <c r="S10" s="86"/>
      <c r="T10" s="137"/>
    </row>
    <row r="11" spans="1:20" s="1" customFormat="1" ht="24.75" thickBot="1">
      <c r="A11" s="3"/>
      <c r="B11" s="3"/>
      <c r="C11" s="3"/>
      <c r="D11" s="70"/>
      <c r="E11" s="71"/>
      <c r="F11" s="72"/>
      <c r="G11" s="72"/>
      <c r="H11" s="72"/>
      <c r="I11" s="110" t="s">
        <v>52</v>
      </c>
      <c r="J11" s="111">
        <f>SUM(J6:J10)</f>
        <v>0</v>
      </c>
      <c r="K11" s="112">
        <f>SUM(K6:K10)</f>
        <v>0</v>
      </c>
      <c r="L11" s="7"/>
      <c r="M11" s="116"/>
      <c r="N11" s="117"/>
      <c r="O11" s="116"/>
      <c r="P11" s="116"/>
      <c r="Q11" s="116"/>
      <c r="R11" s="116"/>
      <c r="S11" s="116"/>
      <c r="T11" s="138"/>
    </row>
    <row r="12" spans="1:20" s="1" customFormat="1" ht="15">
      <c r="A12" s="3"/>
      <c r="B12" s="3"/>
      <c r="C12" s="3"/>
      <c r="D12" s="50"/>
      <c r="E12" s="2"/>
      <c r="I12" s="54"/>
      <c r="J12" s="63"/>
      <c r="K12" s="10"/>
      <c r="L12" s="7"/>
      <c r="M12" s="119"/>
      <c r="N12" s="119"/>
      <c r="O12" s="119"/>
      <c r="P12" s="119"/>
      <c r="Q12" s="119"/>
      <c r="R12" s="119"/>
      <c r="S12" s="119"/>
      <c r="T12" s="51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T13" s="51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118"/>
      <c r="M14" s="120"/>
      <c r="N14" s="120"/>
      <c r="O14" s="120"/>
      <c r="P14" s="120"/>
      <c r="Q14" s="120"/>
      <c r="R14" s="120"/>
      <c r="S14" s="120"/>
      <c r="T14" s="51"/>
    </row>
    <row r="15" spans="1:20" s="1" customFormat="1" ht="15">
      <c r="A15" s="3"/>
      <c r="B15" s="3"/>
      <c r="C15" s="3"/>
      <c r="D15" s="50"/>
      <c r="E15" s="2"/>
      <c r="F15" s="3"/>
      <c r="K15" s="3"/>
      <c r="L15" s="82" t="s">
        <v>41</v>
      </c>
      <c r="M15" s="87">
        <f>(M6*J6/100)</f>
        <v>0</v>
      </c>
      <c r="N15" s="98">
        <f>(N7*J7/100)+(N6*J6/100)</f>
        <v>0</v>
      </c>
      <c r="O15" s="87">
        <f>(O7*J7/100)+(O6*J6/100)</f>
        <v>0</v>
      </c>
      <c r="P15" s="87">
        <f>(P9*J9/100)+(P6*J6/100)</f>
        <v>0</v>
      </c>
      <c r="Q15" s="87">
        <f>(Q10*J10/100)+(Q9*J9/100)</f>
        <v>0</v>
      </c>
      <c r="R15" s="87">
        <f>(R10*J10/100)+(R9*J9/100)</f>
        <v>0</v>
      </c>
      <c r="S15" s="87">
        <f>(S10*J10/100)+(S9*J9/100)</f>
        <v>0</v>
      </c>
      <c r="T15" s="139">
        <f>(T10*J10/100)+(T9*J9/100)</f>
        <v>0</v>
      </c>
    </row>
    <row r="16" spans="1:20" s="1" customFormat="1" ht="15">
      <c r="A16" s="3"/>
      <c r="B16" s="3"/>
      <c r="C16" s="3"/>
      <c r="D16" s="50"/>
      <c r="E16" s="2"/>
      <c r="F16" s="3"/>
      <c r="K16" s="3"/>
      <c r="L16" s="83" t="s">
        <v>42</v>
      </c>
      <c r="M16" s="88">
        <f>M15</f>
        <v>0</v>
      </c>
      <c r="N16" s="99">
        <f>M16+N15</f>
        <v>0</v>
      </c>
      <c r="O16" s="88">
        <f aca="true" t="shared" si="0" ref="O16:T16">N16+O15</f>
        <v>0</v>
      </c>
      <c r="P16" s="88">
        <f t="shared" si="0"/>
        <v>0</v>
      </c>
      <c r="Q16" s="88">
        <f t="shared" si="0"/>
        <v>0</v>
      </c>
      <c r="R16" s="88">
        <f t="shared" si="0"/>
        <v>0</v>
      </c>
      <c r="S16" s="88">
        <f t="shared" si="0"/>
        <v>0</v>
      </c>
      <c r="T16" s="140">
        <f t="shared" si="0"/>
        <v>0</v>
      </c>
    </row>
    <row r="17" spans="1:20" s="1" customFormat="1" ht="15">
      <c r="A17" s="3"/>
      <c r="B17" s="3"/>
      <c r="C17" s="3"/>
      <c r="D17" s="50"/>
      <c r="E17" s="2"/>
      <c r="L17" s="84"/>
      <c r="M17" s="89"/>
      <c r="N17" s="100"/>
      <c r="O17" s="89"/>
      <c r="P17" s="89"/>
      <c r="Q17" s="89"/>
      <c r="R17" s="89"/>
      <c r="S17" s="89"/>
      <c r="T17" s="141"/>
    </row>
    <row r="18" spans="1:20" s="1" customFormat="1" ht="15">
      <c r="A18" s="3"/>
      <c r="B18" s="3"/>
      <c r="C18" s="3"/>
      <c r="D18" s="50"/>
      <c r="E18" s="2"/>
      <c r="F18" s="3"/>
      <c r="L18" s="82" t="s">
        <v>24</v>
      </c>
      <c r="M18" s="90" t="e">
        <f>((M15/J11)*100%)</f>
        <v>#DIV/0!</v>
      </c>
      <c r="N18" s="101" t="e">
        <f>((N15/J11)*100%)</f>
        <v>#DIV/0!</v>
      </c>
      <c r="O18" s="90" t="e">
        <f>((O15/J11)*100%)</f>
        <v>#DIV/0!</v>
      </c>
      <c r="P18" s="90" t="e">
        <f>((P15/J11)*100%)</f>
        <v>#DIV/0!</v>
      </c>
      <c r="Q18" s="90" t="e">
        <f>((Q15/J11)*100%)</f>
        <v>#DIV/0!</v>
      </c>
      <c r="R18" s="90" t="e">
        <f>((R15/J11)*100%)</f>
        <v>#DIV/0!</v>
      </c>
      <c r="S18" s="90" t="e">
        <f>((S15/J11)*100%)</f>
        <v>#DIV/0!</v>
      </c>
      <c r="T18" s="142" t="e">
        <f>((T15/J11)*100%)</f>
        <v>#DIV/0!</v>
      </c>
    </row>
    <row r="19" spans="1:20" s="1" customFormat="1" ht="15">
      <c r="A19" s="3"/>
      <c r="B19" s="3"/>
      <c r="C19" s="3"/>
      <c r="D19" s="50"/>
      <c r="E19" s="2"/>
      <c r="F19" s="3"/>
      <c r="L19" s="83" t="s">
        <v>25</v>
      </c>
      <c r="M19" s="91" t="e">
        <f>M18</f>
        <v>#DIV/0!</v>
      </c>
      <c r="N19" s="102" t="e">
        <f>M19+N18</f>
        <v>#DIV/0!</v>
      </c>
      <c r="O19" s="91" t="e">
        <f>N19+O18</f>
        <v>#DIV/0!</v>
      </c>
      <c r="P19" s="91" t="e">
        <f>O19+P18</f>
        <v>#DIV/0!</v>
      </c>
      <c r="Q19" s="91" t="e">
        <f aca="true" t="shared" si="1" ref="Q19:T19">P19+Q18</f>
        <v>#DIV/0!</v>
      </c>
      <c r="R19" s="91" t="e">
        <f t="shared" si="1"/>
        <v>#DIV/0!</v>
      </c>
      <c r="S19" s="91" t="e">
        <f t="shared" si="1"/>
        <v>#DIV/0!</v>
      </c>
      <c r="T19" s="143" t="e">
        <f t="shared" si="1"/>
        <v>#DIV/0!</v>
      </c>
    </row>
    <row r="20" spans="1:20" s="1" customFormat="1" ht="15">
      <c r="A20" s="3"/>
      <c r="B20" s="3"/>
      <c r="C20" s="3"/>
      <c r="D20" s="50"/>
      <c r="E20" s="2"/>
      <c r="L20" s="84"/>
      <c r="M20" s="92"/>
      <c r="N20" s="103"/>
      <c r="O20" s="92"/>
      <c r="P20" s="92"/>
      <c r="Q20" s="92"/>
      <c r="R20" s="92"/>
      <c r="S20" s="92"/>
      <c r="T20" s="144"/>
    </row>
    <row r="21" spans="1:20" s="1" customFormat="1" ht="15">
      <c r="A21" s="3"/>
      <c r="B21" s="3"/>
      <c r="C21" s="3"/>
      <c r="D21" s="50"/>
      <c r="E21" s="2"/>
      <c r="F21" s="3"/>
      <c r="L21" s="82" t="s">
        <v>26</v>
      </c>
      <c r="M21" s="93" t="e">
        <f>M15*0.2/$J$11</f>
        <v>#DIV/0!</v>
      </c>
      <c r="N21" s="104" t="e">
        <f>N15*0.7/$J$11</f>
        <v>#DIV/0!</v>
      </c>
      <c r="O21" s="93" t="e">
        <f>O15*0.5/$J$11</f>
        <v>#DIV/0!</v>
      </c>
      <c r="P21" s="93" t="e">
        <f>P15*0.7/$J$11</f>
        <v>#DIV/0!</v>
      </c>
      <c r="Q21" s="93" t="e">
        <f>Q15*0.7/$J$11</f>
        <v>#DIV/0!</v>
      </c>
      <c r="R21" s="93" t="e">
        <f aca="true" t="shared" si="2" ref="R21:S21">R15*0.7/$J$11</f>
        <v>#DIV/0!</v>
      </c>
      <c r="S21" s="93" t="e">
        <f t="shared" si="2"/>
        <v>#DIV/0!</v>
      </c>
      <c r="T21" s="145" t="e">
        <f>T15*0.2/$J$11</f>
        <v>#DIV/0!</v>
      </c>
    </row>
    <row r="22" spans="1:20" s="1" customFormat="1" ht="15">
      <c r="A22" s="3"/>
      <c r="B22" s="3"/>
      <c r="C22" s="3"/>
      <c r="D22" s="50"/>
      <c r="E22" s="2"/>
      <c r="F22" s="3"/>
      <c r="L22" s="83" t="s">
        <v>27</v>
      </c>
      <c r="M22" s="94" t="e">
        <f>M21</f>
        <v>#DIV/0!</v>
      </c>
      <c r="N22" s="105" t="e">
        <f>M22+N21</f>
        <v>#DIV/0!</v>
      </c>
      <c r="O22" s="94" t="e">
        <f aca="true" t="shared" si="3" ref="O22:T22">N22+O21</f>
        <v>#DIV/0!</v>
      </c>
      <c r="P22" s="94" t="e">
        <f t="shared" si="3"/>
        <v>#DIV/0!</v>
      </c>
      <c r="Q22" s="94" t="e">
        <f t="shared" si="3"/>
        <v>#DIV/0!</v>
      </c>
      <c r="R22" s="94" t="e">
        <f t="shared" si="3"/>
        <v>#DIV/0!</v>
      </c>
      <c r="S22" s="94" t="e">
        <f t="shared" si="3"/>
        <v>#DIV/0!</v>
      </c>
      <c r="T22" s="146" t="e">
        <f t="shared" si="3"/>
        <v>#DIV/0!</v>
      </c>
    </row>
    <row r="23" spans="1:20" s="1" customFormat="1" ht="15">
      <c r="A23" s="3"/>
      <c r="B23" s="3"/>
      <c r="C23" s="3"/>
      <c r="D23" s="50"/>
      <c r="E23" s="2"/>
      <c r="L23" s="84"/>
      <c r="M23" s="89"/>
      <c r="N23" s="100"/>
      <c r="O23" s="89"/>
      <c r="P23" s="89"/>
      <c r="Q23" s="89"/>
      <c r="R23" s="89"/>
      <c r="S23" s="89"/>
      <c r="T23" s="141"/>
    </row>
    <row r="24" spans="1:20" s="1" customFormat="1" ht="15">
      <c r="A24" s="3"/>
      <c r="B24" s="3"/>
      <c r="C24" s="3"/>
      <c r="D24" s="50"/>
      <c r="E24" s="2"/>
      <c r="L24" s="82" t="s">
        <v>28</v>
      </c>
      <c r="M24" s="95" t="e">
        <f>M19-M22</f>
        <v>#DIV/0!</v>
      </c>
      <c r="N24" s="106" t="e">
        <f aca="true" t="shared" si="4" ref="N24:T24">N19-N22</f>
        <v>#DIV/0!</v>
      </c>
      <c r="O24" s="95" t="e">
        <f t="shared" si="4"/>
        <v>#DIV/0!</v>
      </c>
      <c r="P24" s="95" t="e">
        <f t="shared" si="4"/>
        <v>#DIV/0!</v>
      </c>
      <c r="Q24" s="95" t="e">
        <f t="shared" si="4"/>
        <v>#DIV/0!</v>
      </c>
      <c r="R24" s="95" t="e">
        <f t="shared" si="4"/>
        <v>#DIV/0!</v>
      </c>
      <c r="S24" s="95" t="e">
        <f t="shared" si="4"/>
        <v>#DIV/0!</v>
      </c>
      <c r="T24" s="147" t="e">
        <f t="shared" si="4"/>
        <v>#DIV/0!</v>
      </c>
    </row>
    <row r="25" spans="1:20" s="1" customFormat="1" ht="15">
      <c r="A25" s="3"/>
      <c r="B25" s="3"/>
      <c r="C25" s="3"/>
      <c r="D25" s="50"/>
      <c r="E25" s="2"/>
      <c r="L25" s="84"/>
      <c r="M25" s="89"/>
      <c r="N25" s="100"/>
      <c r="O25" s="89"/>
      <c r="P25" s="89"/>
      <c r="Q25" s="89"/>
      <c r="R25" s="89"/>
      <c r="S25" s="89"/>
      <c r="T25" s="141"/>
    </row>
    <row r="26" spans="1:20" s="1" customFormat="1" ht="15">
      <c r="A26" s="3"/>
      <c r="B26" s="3"/>
      <c r="C26" s="3"/>
      <c r="D26" s="50"/>
      <c r="E26" s="2"/>
      <c r="K26" s="3"/>
      <c r="L26" s="82" t="s">
        <v>44</v>
      </c>
      <c r="M26" s="93" t="e">
        <f aca="true" t="shared" si="5" ref="M26:T26">M15/2/$J$11</f>
        <v>#DIV/0!</v>
      </c>
      <c r="N26" s="107" t="e">
        <f t="shared" si="5"/>
        <v>#DIV/0!</v>
      </c>
      <c r="O26" s="93" t="e">
        <f t="shared" si="5"/>
        <v>#DIV/0!</v>
      </c>
      <c r="P26" s="93" t="e">
        <f t="shared" si="5"/>
        <v>#DIV/0!</v>
      </c>
      <c r="Q26" s="93" t="e">
        <f t="shared" si="5"/>
        <v>#DIV/0!</v>
      </c>
      <c r="R26" s="93" t="e">
        <f t="shared" si="5"/>
        <v>#DIV/0!</v>
      </c>
      <c r="S26" s="93" t="e">
        <f t="shared" si="5"/>
        <v>#DIV/0!</v>
      </c>
      <c r="T26" s="145" t="e">
        <f t="shared" si="5"/>
        <v>#DIV/0!</v>
      </c>
    </row>
    <row r="27" spans="1:20" s="1" customFormat="1" ht="15">
      <c r="A27" s="3"/>
      <c r="B27" s="3"/>
      <c r="C27" s="3"/>
      <c r="D27" s="50"/>
      <c r="E27" s="2"/>
      <c r="L27" s="85" t="s">
        <v>45</v>
      </c>
      <c r="M27" s="96" t="e">
        <f aca="true" t="shared" si="6" ref="M27:T27">M26-M21</f>
        <v>#DIV/0!</v>
      </c>
      <c r="N27" s="108" t="e">
        <f t="shared" si="6"/>
        <v>#DIV/0!</v>
      </c>
      <c r="O27" s="96" t="e">
        <f t="shared" si="6"/>
        <v>#DIV/0!</v>
      </c>
      <c r="P27" s="96" t="e">
        <f t="shared" si="6"/>
        <v>#DIV/0!</v>
      </c>
      <c r="Q27" s="96" t="e">
        <f t="shared" si="6"/>
        <v>#DIV/0!</v>
      </c>
      <c r="R27" s="96" t="e">
        <f t="shared" si="6"/>
        <v>#DIV/0!</v>
      </c>
      <c r="S27" s="96" t="e">
        <f t="shared" si="6"/>
        <v>#DIV/0!</v>
      </c>
      <c r="T27" s="148" t="e">
        <f t="shared" si="6"/>
        <v>#DIV/0!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59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6">
    <mergeCell ref="E10:F10"/>
    <mergeCell ref="D2:T2"/>
    <mergeCell ref="E4:F4"/>
    <mergeCell ref="E6:F6"/>
    <mergeCell ref="E7:F7"/>
    <mergeCell ref="E9:F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4A0D-B47B-45CE-95AC-7EBDC5D1DCEF}">
  <sheetPr>
    <tabColor rgb="FFEA3A16"/>
    <pageSetUpPr fitToPage="1"/>
  </sheetPr>
  <dimension ref="A4:T29"/>
  <sheetViews>
    <sheetView view="pageBreakPreview" zoomScale="70" zoomScaleSheetLayoutView="70" workbookViewId="0" topLeftCell="A3">
      <selection activeCell="Q25" sqref="Q25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4" spans="13:20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</row>
    <row r="5" spans="4:20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</row>
    <row r="6" spans="4:20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</row>
    <row r="7" spans="6:20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J7/$J$12</f>
        <v>0.16447368421052633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</row>
    <row r="8" spans="6:20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J8/$J$12</f>
        <v>0.07894736842105263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</row>
    <row r="9" spans="4:20" ht="15">
      <c r="D9" s="8">
        <v>3</v>
      </c>
      <c r="E9" s="9" t="s">
        <v>38</v>
      </c>
      <c r="I9" s="4"/>
      <c r="J9" s="4">
        <f aca="true" t="shared" si="1" ref="J9">H9*I9</f>
        <v>0</v>
      </c>
      <c r="M9" s="13"/>
      <c r="N9" s="22"/>
      <c r="O9" s="13"/>
      <c r="P9" s="20"/>
      <c r="Q9" s="20"/>
      <c r="R9" s="20"/>
      <c r="S9" s="20"/>
      <c r="T9" s="20"/>
    </row>
    <row r="10" spans="6:20" ht="15">
      <c r="F10" s="1" t="s">
        <v>2</v>
      </c>
      <c r="G10" s="1" t="s">
        <v>40</v>
      </c>
      <c r="H10" s="1">
        <v>400</v>
      </c>
      <c r="I10" s="4">
        <v>2000</v>
      </c>
      <c r="J10" s="4">
        <f>H10*I10</f>
        <v>800000</v>
      </c>
      <c r="K10" s="5">
        <f>J10/$J$12</f>
        <v>0.2631578947368421</v>
      </c>
      <c r="L10" s="6"/>
      <c r="M10" s="13"/>
      <c r="N10" s="22"/>
      <c r="O10" s="13"/>
      <c r="P10" s="17">
        <f>100/5</f>
        <v>20</v>
      </c>
      <c r="Q10" s="17">
        <f aca="true" t="shared" si="2" ref="Q10:T10">100/5</f>
        <v>20</v>
      </c>
      <c r="R10" s="17">
        <f>100/5</f>
        <v>20</v>
      </c>
      <c r="S10" s="12">
        <f t="shared" si="2"/>
        <v>20</v>
      </c>
      <c r="T10" s="12">
        <f t="shared" si="2"/>
        <v>20</v>
      </c>
    </row>
    <row r="11" spans="6:20" ht="15">
      <c r="F11" s="1" t="s">
        <v>3</v>
      </c>
      <c r="G11" s="1" t="s">
        <v>40</v>
      </c>
      <c r="H11" s="1">
        <v>300</v>
      </c>
      <c r="I11" s="4">
        <v>5000</v>
      </c>
      <c r="J11" s="4">
        <f>H11*I11</f>
        <v>1500000</v>
      </c>
      <c r="K11" s="5">
        <f aca="true" t="shared" si="3" ref="K11">J11/$J$12</f>
        <v>0.4934210526315789</v>
      </c>
      <c r="L11" s="6"/>
      <c r="M11" s="13"/>
      <c r="N11" s="22"/>
      <c r="O11" s="13"/>
      <c r="P11" s="19"/>
      <c r="Q11" s="18">
        <f>100/4</f>
        <v>25</v>
      </c>
      <c r="R11" s="18">
        <f aca="true" t="shared" si="4" ref="R11:T11">100/4</f>
        <v>25</v>
      </c>
      <c r="S11" s="18">
        <f t="shared" si="4"/>
        <v>25</v>
      </c>
      <c r="T11" s="18">
        <f t="shared" si="4"/>
        <v>25</v>
      </c>
    </row>
    <row r="12" spans="9:20" ht="15">
      <c r="I12" s="4"/>
      <c r="J12" s="46">
        <f>SUM(J7:J11)</f>
        <v>3040000</v>
      </c>
      <c r="K12" s="10">
        <f>SUM(K7:K11)</f>
        <v>1</v>
      </c>
      <c r="L12" s="7"/>
      <c r="M12" s="13"/>
      <c r="N12" s="22"/>
      <c r="O12" s="13"/>
      <c r="P12" s="19"/>
      <c r="Q12" s="22"/>
      <c r="R12" s="22"/>
      <c r="S12" s="22"/>
      <c r="T12" s="13"/>
    </row>
    <row r="13" spans="6:20" ht="15">
      <c r="F13" s="3"/>
      <c r="K13" s="3"/>
      <c r="L13" s="26" t="s">
        <v>41</v>
      </c>
      <c r="M13" s="33">
        <f>(M7*J7/100)</f>
        <v>125000</v>
      </c>
      <c r="N13" s="33">
        <f>(N8*J8/100)+(N7*J7/100)</f>
        <v>245000</v>
      </c>
      <c r="O13" s="33">
        <f>(O8*J8/100)+(O7*J7/100)</f>
        <v>245000</v>
      </c>
      <c r="P13" s="33">
        <f>(P10*J10/100)+(P7*J7/100)</f>
        <v>285000</v>
      </c>
      <c r="Q13" s="33">
        <f>(Q11*J11/100)+(Q10*J10/100)</f>
        <v>535000</v>
      </c>
      <c r="R13" s="33">
        <f>(R11*J11/100)+(R10*J10/100)</f>
        <v>535000</v>
      </c>
      <c r="S13" s="33">
        <f>(S11*J11/100)+(S10*J10/100)</f>
        <v>535000</v>
      </c>
      <c r="T13" s="33">
        <f>(T11*J11/100)+(T10*J10/100)</f>
        <v>535000</v>
      </c>
    </row>
    <row r="14" spans="6:20" ht="24">
      <c r="F14" s="3"/>
      <c r="K14" s="3"/>
      <c r="L14" s="26" t="s">
        <v>42</v>
      </c>
      <c r="M14" s="33">
        <f>M13</f>
        <v>125000</v>
      </c>
      <c r="N14" s="33">
        <f>M14+N13</f>
        <v>370000</v>
      </c>
      <c r="O14" s="33">
        <f aca="true" t="shared" si="5" ref="O14:T14">N14+O13</f>
        <v>615000</v>
      </c>
      <c r="P14" s="33">
        <f t="shared" si="5"/>
        <v>900000</v>
      </c>
      <c r="Q14" s="33">
        <f t="shared" si="5"/>
        <v>1435000</v>
      </c>
      <c r="R14" s="33">
        <f t="shared" si="5"/>
        <v>1970000</v>
      </c>
      <c r="S14" s="33">
        <f t="shared" si="5"/>
        <v>2505000</v>
      </c>
      <c r="T14" s="33">
        <f t="shared" si="5"/>
        <v>3040000</v>
      </c>
    </row>
    <row r="15" spans="12:20" ht="24">
      <c r="L15" s="36"/>
      <c r="M15" s="37"/>
      <c r="N15" s="38"/>
      <c r="O15" s="37"/>
      <c r="P15" s="39"/>
      <c r="Q15" s="38"/>
      <c r="R15" s="38"/>
      <c r="S15" s="38"/>
      <c r="T15" s="37"/>
    </row>
    <row r="16" spans="6:20" ht="24">
      <c r="F16" s="3"/>
      <c r="L16" s="26" t="s">
        <v>24</v>
      </c>
      <c r="M16" s="27">
        <f>((M13/J12)*100%)</f>
        <v>0.04111842105263158</v>
      </c>
      <c r="N16" s="27">
        <f>((N13/J12)*100%)</f>
        <v>0.0805921052631579</v>
      </c>
      <c r="O16" s="27">
        <f>((O13/J12)*100%)</f>
        <v>0.0805921052631579</v>
      </c>
      <c r="P16" s="27">
        <f>((P13/J12)*100%)</f>
        <v>0.09375</v>
      </c>
      <c r="Q16" s="27">
        <f>((Q13/J12)*100%)</f>
        <v>0.17598684210526316</v>
      </c>
      <c r="R16" s="27">
        <f>((R13/J12)*100%)</f>
        <v>0.17598684210526316</v>
      </c>
      <c r="S16" s="27">
        <f>((S13/J12)*100%)</f>
        <v>0.17598684210526316</v>
      </c>
      <c r="T16" s="27">
        <f>((T13/J12)*100%)</f>
        <v>0.17598684210526316</v>
      </c>
    </row>
    <row r="17" spans="6:20" ht="24">
      <c r="F17" s="3"/>
      <c r="L17" s="26" t="s">
        <v>25</v>
      </c>
      <c r="M17" s="27">
        <f>M16</f>
        <v>0.04111842105263158</v>
      </c>
      <c r="N17" s="27">
        <f>M17+N16</f>
        <v>0.12171052631578948</v>
      </c>
      <c r="O17" s="27">
        <f>N17+O16</f>
        <v>0.20230263157894737</v>
      </c>
      <c r="P17" s="27">
        <f>O17+P16</f>
        <v>0.29605263157894735</v>
      </c>
      <c r="Q17" s="27">
        <f aca="true" t="shared" si="6" ref="Q17:T17">P17+Q16</f>
        <v>0.4720394736842105</v>
      </c>
      <c r="R17" s="27">
        <f t="shared" si="6"/>
        <v>0.6480263157894737</v>
      </c>
      <c r="S17" s="27">
        <f t="shared" si="6"/>
        <v>0.8240131578947368</v>
      </c>
      <c r="T17" s="27">
        <f t="shared" si="6"/>
        <v>1</v>
      </c>
    </row>
    <row r="18" spans="12:20" ht="15">
      <c r="L18" s="36"/>
      <c r="M18" s="40"/>
      <c r="N18" s="41"/>
      <c r="O18" s="40"/>
      <c r="P18" s="42"/>
      <c r="Q18" s="41"/>
      <c r="R18" s="41"/>
      <c r="S18" s="41"/>
      <c r="T18" s="40"/>
    </row>
    <row r="19" spans="6:20" ht="24">
      <c r="F19" s="3"/>
      <c r="L19" s="26" t="s">
        <v>26</v>
      </c>
      <c r="M19" s="27">
        <f>M13*0.2/$J$12</f>
        <v>0.008223684210526315</v>
      </c>
      <c r="N19" s="27">
        <f>N13*0.7/$J$12</f>
        <v>0.05641447368421053</v>
      </c>
      <c r="O19" s="27">
        <f>O13*0.5/$J$12</f>
        <v>0.04029605263157895</v>
      </c>
      <c r="P19" s="27">
        <f>P13*0.7/$J$12</f>
        <v>0.065625</v>
      </c>
      <c r="Q19" s="27">
        <f>Q13*0.7/$J$12</f>
        <v>0.12319078947368421</v>
      </c>
      <c r="R19" s="27">
        <f aca="true" t="shared" si="7" ref="R19:S19">R13*0.7/$J$12</f>
        <v>0.12319078947368421</v>
      </c>
      <c r="S19" s="27">
        <f t="shared" si="7"/>
        <v>0.12319078947368421</v>
      </c>
      <c r="T19" s="27">
        <f>T13*0.2/$J$12</f>
        <v>0.03519736842105263</v>
      </c>
    </row>
    <row r="20" spans="6:20" ht="24">
      <c r="F20" s="3"/>
      <c r="L20" s="26" t="s">
        <v>27</v>
      </c>
      <c r="M20" s="27">
        <f>M19</f>
        <v>0.008223684210526315</v>
      </c>
      <c r="N20" s="27">
        <f>M20+N19</f>
        <v>0.06463815789473684</v>
      </c>
      <c r="O20" s="27">
        <f aca="true" t="shared" si="8" ref="O20:T20">N20+O19</f>
        <v>0.1049342105263158</v>
      </c>
      <c r="P20" s="31">
        <f t="shared" si="8"/>
        <v>0.17055921052631579</v>
      </c>
      <c r="Q20" s="27">
        <f t="shared" si="8"/>
        <v>0.29375</v>
      </c>
      <c r="R20" s="32">
        <f t="shared" si="8"/>
        <v>0.41694078947368424</v>
      </c>
      <c r="S20" s="35">
        <f t="shared" si="8"/>
        <v>0.5401315789473684</v>
      </c>
      <c r="T20" s="27">
        <f t="shared" si="8"/>
        <v>0.575328947368421</v>
      </c>
    </row>
    <row r="21" spans="12:20" ht="24">
      <c r="L21" s="36"/>
      <c r="M21" s="37"/>
      <c r="N21" s="38"/>
      <c r="O21" s="37"/>
      <c r="P21" s="39"/>
      <c r="Q21" s="38"/>
      <c r="R21" s="38"/>
      <c r="S21" s="38"/>
      <c r="T21" s="37"/>
    </row>
    <row r="22" spans="1:20" s="1" customFormat="1" ht="24">
      <c r="A22" s="3"/>
      <c r="B22" s="3"/>
      <c r="C22" s="3"/>
      <c r="E22" s="2"/>
      <c r="L22" s="26" t="s">
        <v>28</v>
      </c>
      <c r="M22" s="28">
        <f>M17-M20</f>
        <v>0.03289473684210527</v>
      </c>
      <c r="N22" s="28">
        <f aca="true" t="shared" si="9" ref="N22:T22">N17-N20</f>
        <v>0.057072368421052636</v>
      </c>
      <c r="O22" s="28">
        <f t="shared" si="9"/>
        <v>0.09736842105263158</v>
      </c>
      <c r="P22" s="28">
        <f t="shared" si="9"/>
        <v>0.12549342105263156</v>
      </c>
      <c r="Q22" s="30">
        <f t="shared" si="9"/>
        <v>0.1782894736842105</v>
      </c>
      <c r="R22" s="28">
        <f t="shared" si="9"/>
        <v>0.23108552631578944</v>
      </c>
      <c r="S22" s="28">
        <f t="shared" si="9"/>
        <v>0.28388157894736843</v>
      </c>
      <c r="T22" s="28">
        <f t="shared" si="9"/>
        <v>0.424671052631579</v>
      </c>
    </row>
    <row r="23" spans="1:20" s="1" customFormat="1" ht="15">
      <c r="A23" s="3"/>
      <c r="B23" s="3"/>
      <c r="C23" s="3"/>
      <c r="E23" s="2"/>
      <c r="L23" s="36"/>
      <c r="M23" s="37"/>
      <c r="N23" s="38"/>
      <c r="O23" s="37"/>
      <c r="P23" s="39"/>
      <c r="Q23" s="38"/>
      <c r="R23" s="38"/>
      <c r="S23" s="38"/>
      <c r="T23" s="37"/>
    </row>
    <row r="24" spans="1:20" s="1" customFormat="1" ht="15">
      <c r="A24" s="3"/>
      <c r="B24" s="3"/>
      <c r="C24" s="3"/>
      <c r="E24" s="2"/>
      <c r="K24" s="3"/>
      <c r="L24" s="26" t="s">
        <v>44</v>
      </c>
      <c r="M24" s="27">
        <f aca="true" t="shared" si="10" ref="M24:T24">M13/2/$J$12</f>
        <v>0.02055921052631579</v>
      </c>
      <c r="N24" s="27">
        <f t="shared" si="10"/>
        <v>0.04029605263157895</v>
      </c>
      <c r="O24" s="27">
        <f t="shared" si="10"/>
        <v>0.04029605263157895</v>
      </c>
      <c r="P24" s="27">
        <f t="shared" si="10"/>
        <v>0.046875</v>
      </c>
      <c r="Q24" s="27">
        <f t="shared" si="10"/>
        <v>0.08799342105263158</v>
      </c>
      <c r="R24" s="27">
        <f t="shared" si="10"/>
        <v>0.08799342105263158</v>
      </c>
      <c r="S24" s="27">
        <f t="shared" si="10"/>
        <v>0.08799342105263158</v>
      </c>
      <c r="T24" s="27">
        <f t="shared" si="10"/>
        <v>0.08799342105263158</v>
      </c>
    </row>
    <row r="25" spans="1:20" s="1" customFormat="1" ht="15">
      <c r="A25" s="3"/>
      <c r="B25" s="3"/>
      <c r="C25" s="3"/>
      <c r="E25" s="2"/>
      <c r="L25" s="26" t="s">
        <v>45</v>
      </c>
      <c r="M25" s="28">
        <f aca="true" t="shared" si="11" ref="M25:T25">M24-M19</f>
        <v>0.012335526315789476</v>
      </c>
      <c r="N25" s="28">
        <f t="shared" si="11"/>
        <v>-0.01611842105263158</v>
      </c>
      <c r="O25" s="28">
        <f t="shared" si="11"/>
        <v>0</v>
      </c>
      <c r="P25" s="28">
        <f t="shared" si="11"/>
        <v>-0.018750000000000003</v>
      </c>
      <c r="Q25" s="28">
        <f t="shared" si="11"/>
        <v>-0.03519736842105263</v>
      </c>
      <c r="R25" s="28">
        <f t="shared" si="11"/>
        <v>-0.03519736842105263</v>
      </c>
      <c r="S25" s="29">
        <f t="shared" si="11"/>
        <v>-0.03519736842105263</v>
      </c>
      <c r="T25" s="28">
        <f t="shared" si="11"/>
        <v>0.05279605263157895</v>
      </c>
    </row>
    <row r="26" spans="1:12" s="1" customFormat="1" ht="15">
      <c r="A26" s="3"/>
      <c r="B26" s="3"/>
      <c r="C26" s="45" t="s">
        <v>47</v>
      </c>
      <c r="E26" s="43"/>
      <c r="F26" s="9" t="s">
        <v>48</v>
      </c>
      <c r="G26" s="2"/>
      <c r="L26" s="2"/>
    </row>
    <row r="27" spans="1:12" s="1" customFormat="1" ht="15">
      <c r="A27" s="3"/>
      <c r="B27" s="3"/>
      <c r="C27" s="3"/>
      <c r="E27" s="44">
        <v>25</v>
      </c>
      <c r="F27" s="9" t="s">
        <v>49</v>
      </c>
      <c r="L27" s="2"/>
    </row>
    <row r="28" spans="1:12" s="1" customFormat="1" ht="15">
      <c r="A28" s="3"/>
      <c r="B28" s="3"/>
      <c r="C28" s="3"/>
      <c r="E28" s="34" t="s">
        <v>41</v>
      </c>
      <c r="F28" s="9" t="s">
        <v>51</v>
      </c>
      <c r="L28" s="2"/>
    </row>
    <row r="29" spans="1:12" s="1" customFormat="1" ht="15">
      <c r="A29" s="3"/>
      <c r="B29" s="3"/>
      <c r="C29" s="3"/>
      <c r="E29" s="26" t="s">
        <v>24</v>
      </c>
      <c r="F29" s="9" t="s">
        <v>50</v>
      </c>
      <c r="L29" s="2"/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6020-1700-4BD0-864D-08B4967F1C18}">
  <sheetPr>
    <tabColor rgb="FFEA3A16"/>
    <pageSetUpPr fitToPage="1"/>
  </sheetPr>
  <dimension ref="C4:X40"/>
  <sheetViews>
    <sheetView view="pageBreakPreview" zoomScale="60" workbookViewId="0" topLeftCell="A1">
      <selection activeCell="N31" sqref="N31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4" width="13.140625" style="1" bestFit="1" customWidth="1"/>
    <col min="25" max="25" width="9.00390625" style="1" customWidth="1"/>
    <col min="26" max="16384" width="9.00390625" style="3" customWidth="1"/>
  </cols>
  <sheetData>
    <row r="4" spans="13:24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6:24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0.06821282401091405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6:24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0.03274215552523874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ht="15" hidden="1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6:24" ht="15" hidden="1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0.020463847203274217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6:24" ht="15" hidden="1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0.054570259208731244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6:24" ht="15" hidden="1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aca="true" t="shared" si="1" ref="P12:R12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6:24" ht="15" hidden="1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0.040927694406548434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ht="15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6:24" ht="15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aca="true" t="shared" si="2" ref="R15:U15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ht="15" hidden="1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6:24" ht="15" hidden="1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aca="true" t="shared" si="3" ref="K17:K18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aca="true" t="shared" si="4" ref="T17:X18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6:24" ht="15" hidden="1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ht="2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6:24" ht="2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aca="true" t="shared" si="5" ref="K20:K22">J20/$J$23</f>
        <v>0.040927694406548434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6:24" ht="2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0.019099590723055934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6:24" ht="2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0.08185538881309687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9:24" ht="15">
      <c r="I23" s="4"/>
      <c r="J23" s="46">
        <f>SUM(J7:J22)</f>
        <v>7330000</v>
      </c>
      <c r="K23" s="10">
        <f>SUM(K7:K22)</f>
        <v>0.9999999999999999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6:24" ht="15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6:24" ht="2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aca="true" t="shared" si="6" ref="O25:X25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12:24" ht="2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6:24" ht="24">
      <c r="F27" s="3"/>
      <c r="L27" s="26" t="s">
        <v>24</v>
      </c>
      <c r="M27" s="27">
        <f>M24/$J$23</f>
        <v>0.017053206002728513</v>
      </c>
      <c r="N27" s="27">
        <f>N24/$J$23</f>
        <v>0.0538881309686221</v>
      </c>
      <c r="O27" s="27">
        <f aca="true" t="shared" si="7" ref="O27:X27">O24/$J$23</f>
        <v>0.09140518417462483</v>
      </c>
      <c r="P27" s="27">
        <f t="shared" si="7"/>
        <v>0.07503410641200546</v>
      </c>
      <c r="Q27" s="27">
        <f t="shared" si="7"/>
        <v>0.09208731241473397</v>
      </c>
      <c r="R27" s="27">
        <f t="shared" si="7"/>
        <v>0.09208731241473397</v>
      </c>
      <c r="S27" s="27">
        <f t="shared" si="7"/>
        <v>0.06821282401091405</v>
      </c>
      <c r="T27" s="27">
        <f t="shared" si="7"/>
        <v>0.06821282401091405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0.09208731241473397</v>
      </c>
    </row>
    <row r="28" spans="6:24" ht="24">
      <c r="F28" s="3"/>
      <c r="L28" s="26" t="s">
        <v>25</v>
      </c>
      <c r="M28" s="27">
        <f>M27</f>
        <v>0.017053206002728513</v>
      </c>
      <c r="N28" s="27">
        <f>M28+N27</f>
        <v>0.0709413369713506</v>
      </c>
      <c r="O28" s="27">
        <f aca="true" t="shared" si="8" ref="O28:X28">N28+O27</f>
        <v>0.16234652114597542</v>
      </c>
      <c r="P28" s="27">
        <f t="shared" si="8"/>
        <v>0.2373806275579809</v>
      </c>
      <c r="Q28" s="27">
        <f t="shared" si="8"/>
        <v>0.32946793997271484</v>
      </c>
      <c r="R28" s="27">
        <f t="shared" si="8"/>
        <v>0.42155525238744884</v>
      </c>
      <c r="S28" s="27">
        <f t="shared" si="8"/>
        <v>0.4897680763983629</v>
      </c>
      <c r="T28" s="27">
        <f t="shared" si="8"/>
        <v>0.557980900409277</v>
      </c>
      <c r="U28" s="27">
        <f t="shared" si="8"/>
        <v>0.6978171896316507</v>
      </c>
      <c r="V28" s="27">
        <f t="shared" si="8"/>
        <v>0.8062755798090041</v>
      </c>
      <c r="W28" s="27">
        <f t="shared" si="8"/>
        <v>0.907912687585266</v>
      </c>
      <c r="X28" s="27">
        <f t="shared" si="8"/>
        <v>1</v>
      </c>
    </row>
    <row r="29" spans="12:24" ht="15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6:24" ht="15">
      <c r="F30" s="3"/>
      <c r="L30" s="26" t="s">
        <v>26</v>
      </c>
      <c r="M30" s="27">
        <f>M24*0.2/$J$23</f>
        <v>0.0034106412005457027</v>
      </c>
      <c r="N30" s="27">
        <f>N24*0.7/$J$23</f>
        <v>0.03772169167803547</v>
      </c>
      <c r="O30" s="27">
        <f>O24*0.5/$J$23</f>
        <v>0.045702592087312414</v>
      </c>
      <c r="P30" s="27">
        <f>P24*0.7/$J$23</f>
        <v>0.05252387448840382</v>
      </c>
      <c r="Q30" s="27">
        <f>Q24*0.3/$J$23</f>
        <v>0.02762619372442019</v>
      </c>
      <c r="R30" s="27">
        <f aca="true" t="shared" si="9" ref="R30:X30">R24*0.7/$J$23</f>
        <v>0.06446111869031378</v>
      </c>
      <c r="S30" s="27">
        <f t="shared" si="9"/>
        <v>0.047748976807639835</v>
      </c>
      <c r="T30" s="27">
        <f>T24*0.2/$J$23</f>
        <v>0.013642564802182811</v>
      </c>
      <c r="U30" s="27">
        <f t="shared" si="9"/>
        <v>0.09788540245566166</v>
      </c>
      <c r="V30" s="27">
        <f t="shared" si="9"/>
        <v>0.07592087312414735</v>
      </c>
      <c r="W30" s="27">
        <f>W24*1.9/$J$23</f>
        <v>0.1931105047748977</v>
      </c>
      <c r="X30" s="27">
        <f t="shared" si="9"/>
        <v>0.06446111869031378</v>
      </c>
    </row>
    <row r="31" spans="6:24" ht="15">
      <c r="F31" s="3"/>
      <c r="L31" s="26" t="s">
        <v>27</v>
      </c>
      <c r="M31" s="27">
        <f>M30</f>
        <v>0.0034106412005457027</v>
      </c>
      <c r="N31" s="27">
        <f>M31+N30</f>
        <v>0.041132332878581174</v>
      </c>
      <c r="O31" s="27">
        <f aca="true" t="shared" si="10" ref="O31:X31">N31+O30</f>
        <v>0.0868349249658936</v>
      </c>
      <c r="P31" s="31">
        <f t="shared" si="10"/>
        <v>0.1393587994542974</v>
      </c>
      <c r="Q31" s="27">
        <f t="shared" si="10"/>
        <v>0.1669849931787176</v>
      </c>
      <c r="R31" s="32">
        <f t="shared" si="10"/>
        <v>0.23144611186903136</v>
      </c>
      <c r="S31" s="35">
        <f t="shared" si="10"/>
        <v>0.2791950886766712</v>
      </c>
      <c r="T31" s="27">
        <f t="shared" si="10"/>
        <v>0.292837653478854</v>
      </c>
      <c r="U31" s="32">
        <f t="shared" si="10"/>
        <v>0.3907230559345156</v>
      </c>
      <c r="V31" s="27">
        <f t="shared" si="10"/>
        <v>0.466643929058663</v>
      </c>
      <c r="W31" s="27">
        <f t="shared" si="10"/>
        <v>0.6597544338335607</v>
      </c>
      <c r="X31" s="32">
        <f t="shared" si="10"/>
        <v>0.7242155525238745</v>
      </c>
    </row>
    <row r="32" spans="12:24" ht="15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12:24" ht="15">
      <c r="L33" s="26" t="s">
        <v>28</v>
      </c>
      <c r="M33" s="28">
        <f>M28-M31</f>
        <v>0.013642564802182811</v>
      </c>
      <c r="N33" s="28">
        <f aca="true" t="shared" si="11" ref="N33:X33">N28-N31</f>
        <v>0.02980900409276943</v>
      </c>
      <c r="O33" s="28">
        <f t="shared" si="11"/>
        <v>0.07551159618008182</v>
      </c>
      <c r="P33" s="28">
        <f t="shared" si="11"/>
        <v>0.09802182810368348</v>
      </c>
      <c r="Q33" s="30">
        <f t="shared" si="11"/>
        <v>0.16248294679399725</v>
      </c>
      <c r="R33" s="28">
        <f t="shared" si="11"/>
        <v>0.19010914051841749</v>
      </c>
      <c r="S33" s="28">
        <f t="shared" si="11"/>
        <v>0.2105729877216917</v>
      </c>
      <c r="T33" s="28">
        <f t="shared" si="11"/>
        <v>0.26514324693042296</v>
      </c>
      <c r="U33" s="28">
        <f t="shared" si="11"/>
        <v>0.3070941336971351</v>
      </c>
      <c r="V33" s="28">
        <f t="shared" si="11"/>
        <v>0.33963165075034113</v>
      </c>
      <c r="W33" s="28">
        <f t="shared" si="11"/>
        <v>0.2481582537517053</v>
      </c>
      <c r="X33" s="28">
        <f t="shared" si="11"/>
        <v>0.2757844474761255</v>
      </c>
    </row>
    <row r="34" spans="12:24" ht="15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11:24" ht="15">
      <c r="K35" s="3"/>
      <c r="L35" s="26" t="s">
        <v>44</v>
      </c>
      <c r="M35" s="27">
        <f>M24/2/$J$23</f>
        <v>0.008526603001364257</v>
      </c>
      <c r="N35" s="27">
        <f aca="true" t="shared" si="12" ref="N35:X35">N24/2/$J$23</f>
        <v>0.02694406548431105</v>
      </c>
      <c r="O35" s="27">
        <f t="shared" si="12"/>
        <v>0.045702592087312414</v>
      </c>
      <c r="P35" s="27">
        <f t="shared" si="12"/>
        <v>0.03751705320600273</v>
      </c>
      <c r="Q35" s="27">
        <f t="shared" si="12"/>
        <v>0.04604365620736699</v>
      </c>
      <c r="R35" s="27">
        <f t="shared" si="12"/>
        <v>0.04604365620736699</v>
      </c>
      <c r="S35" s="27">
        <f t="shared" si="12"/>
        <v>0.034106412005457026</v>
      </c>
      <c r="T35" s="27">
        <f t="shared" si="12"/>
        <v>0.034106412005457026</v>
      </c>
      <c r="U35" s="27">
        <f t="shared" si="12"/>
        <v>0.06991814461118691</v>
      </c>
      <c r="V35" s="27">
        <f t="shared" si="12"/>
        <v>0.05422919508867667</v>
      </c>
      <c r="W35" s="27">
        <f t="shared" si="12"/>
        <v>0.05081855388813097</v>
      </c>
      <c r="X35" s="27">
        <f t="shared" si="12"/>
        <v>0.04604365620736699</v>
      </c>
    </row>
    <row r="36" spans="12:24" ht="15">
      <c r="L36" s="26" t="s">
        <v>45</v>
      </c>
      <c r="M36" s="28">
        <f>M35-M30</f>
        <v>0.005115961800818554</v>
      </c>
      <c r="N36" s="28">
        <f>N35-N30</f>
        <v>-0.01077762619372442</v>
      </c>
      <c r="O36" s="28">
        <f aca="true" t="shared" si="13" ref="O36:X36">O35-O30</f>
        <v>0</v>
      </c>
      <c r="P36" s="28">
        <f t="shared" si="13"/>
        <v>-0.015006821282401092</v>
      </c>
      <c r="Q36" s="28">
        <f t="shared" si="13"/>
        <v>0.018417462482946796</v>
      </c>
      <c r="R36" s="28">
        <f t="shared" si="13"/>
        <v>-0.01841746248294679</v>
      </c>
      <c r="S36" s="29">
        <f t="shared" si="13"/>
        <v>-0.01364256480218281</v>
      </c>
      <c r="T36" s="28">
        <f t="shared" si="13"/>
        <v>0.020463847203274217</v>
      </c>
      <c r="U36" s="28">
        <f t="shared" si="13"/>
        <v>-0.02796725784447475</v>
      </c>
      <c r="V36" s="28">
        <f t="shared" si="13"/>
        <v>-0.021691678035470674</v>
      </c>
      <c r="W36" s="28">
        <f t="shared" si="13"/>
        <v>-0.14229195088676672</v>
      </c>
      <c r="X36" s="28">
        <f t="shared" si="13"/>
        <v>-0.01841746248294679</v>
      </c>
    </row>
    <row r="37" spans="3:7" ht="15">
      <c r="C37" s="45" t="s">
        <v>47</v>
      </c>
      <c r="E37" s="43"/>
      <c r="F37" s="9" t="s">
        <v>48</v>
      </c>
      <c r="G37" s="2"/>
    </row>
    <row r="38" spans="5:6" ht="15">
      <c r="E38" s="44">
        <v>25</v>
      </c>
      <c r="F38" s="9" t="s">
        <v>49</v>
      </c>
    </row>
    <row r="39" spans="5:6" ht="15">
      <c r="E39" s="34" t="s">
        <v>41</v>
      </c>
      <c r="F39" s="9" t="s">
        <v>51</v>
      </c>
    </row>
    <row r="40" spans="5:6" ht="15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3F8A-DE0F-4E21-AFB0-BCB8694D1BCD}">
  <sheetPr>
    <tabColor rgb="FFEA3A16"/>
    <pageSetUpPr fitToPage="1"/>
  </sheetPr>
  <dimension ref="C4:X40"/>
  <sheetViews>
    <sheetView view="pageBreakPreview" zoomScale="50" zoomScaleSheetLayoutView="50" workbookViewId="0" topLeftCell="A1">
      <selection activeCell="L6" sqref="L6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4" width="13.140625" style="1" bestFit="1" customWidth="1"/>
    <col min="25" max="25" width="9.00390625" style="1" customWidth="1"/>
    <col min="26" max="16384" width="9.00390625" style="3" customWidth="1"/>
  </cols>
  <sheetData>
    <row r="4" spans="13:24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6:24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0.06821282401091405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6:24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0.03274215552523874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ht="15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6:24" ht="15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0.020463847203274217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6:24" ht="15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0.054570259208731244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6:24" ht="15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aca="true" t="shared" si="1" ref="P12:R12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6:24" ht="15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0.040927694406548434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ht="15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6:24" ht="15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aca="true" t="shared" si="2" ref="R15:U15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ht="15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6:24" ht="15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aca="true" t="shared" si="3" ref="K17:K18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aca="true" t="shared" si="4" ref="T17:X18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6:24" ht="15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ht="2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6:24" ht="2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aca="true" t="shared" si="5" ref="K20:K22">J20/$J$23</f>
        <v>0.040927694406548434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6:24" ht="2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0.019099590723055934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6:24" ht="2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0.08185538881309687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9:24" ht="15">
      <c r="I23" s="4"/>
      <c r="J23" s="46">
        <f>SUM(J7:J22)</f>
        <v>7330000</v>
      </c>
      <c r="K23" s="10">
        <f>SUM(K7:K22)</f>
        <v>0.9999999999999999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6:24" ht="15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6:24" ht="2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aca="true" t="shared" si="6" ref="O25:X25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12:24" ht="2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6:24" ht="24">
      <c r="F27" s="3"/>
      <c r="L27" s="26" t="s">
        <v>24</v>
      </c>
      <c r="M27" s="27">
        <f>M24/$J$23</f>
        <v>0.017053206002728513</v>
      </c>
      <c r="N27" s="27">
        <f>N24/$J$23</f>
        <v>0.0538881309686221</v>
      </c>
      <c r="O27" s="27">
        <f aca="true" t="shared" si="7" ref="O27:X27">O24/$J$23</f>
        <v>0.09140518417462483</v>
      </c>
      <c r="P27" s="27">
        <f t="shared" si="7"/>
        <v>0.07503410641200546</v>
      </c>
      <c r="Q27" s="27">
        <f t="shared" si="7"/>
        <v>0.09208731241473397</v>
      </c>
      <c r="R27" s="27">
        <f t="shared" si="7"/>
        <v>0.09208731241473397</v>
      </c>
      <c r="S27" s="27">
        <f t="shared" si="7"/>
        <v>0.06821282401091405</v>
      </c>
      <c r="T27" s="27">
        <f t="shared" si="7"/>
        <v>0.06821282401091405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0.09208731241473397</v>
      </c>
    </row>
    <row r="28" spans="6:24" ht="24">
      <c r="F28" s="3"/>
      <c r="L28" s="26" t="s">
        <v>25</v>
      </c>
      <c r="M28" s="27">
        <f>M27</f>
        <v>0.017053206002728513</v>
      </c>
      <c r="N28" s="27">
        <f>M28+N27</f>
        <v>0.0709413369713506</v>
      </c>
      <c r="O28" s="27">
        <f aca="true" t="shared" si="8" ref="O28">N28+O27</f>
        <v>0.16234652114597542</v>
      </c>
      <c r="P28" s="27">
        <f aca="true" t="shared" si="9" ref="P28">O28+P27</f>
        <v>0.2373806275579809</v>
      </c>
      <c r="Q28" s="27">
        <f aca="true" t="shared" si="10" ref="Q28">P28+Q27</f>
        <v>0.32946793997271484</v>
      </c>
      <c r="R28" s="27">
        <f aca="true" t="shared" si="11" ref="R28">Q28+R27</f>
        <v>0.42155525238744884</v>
      </c>
      <c r="S28" s="27">
        <f aca="true" t="shared" si="12" ref="S28">R28+S27</f>
        <v>0.4897680763983629</v>
      </c>
      <c r="T28" s="27">
        <f aca="true" t="shared" si="13" ref="T28">S28+T27</f>
        <v>0.557980900409277</v>
      </c>
      <c r="U28" s="27">
        <f aca="true" t="shared" si="14" ref="U28">T28+U27</f>
        <v>0.6978171896316507</v>
      </c>
      <c r="V28" s="27">
        <f aca="true" t="shared" si="15" ref="V28">U28+V27</f>
        <v>0.8062755798090041</v>
      </c>
      <c r="W28" s="27">
        <f aca="true" t="shared" si="16" ref="W28">V28+W27</f>
        <v>0.907912687585266</v>
      </c>
      <c r="X28" s="27">
        <f aca="true" t="shared" si="17" ref="X28">W28+X27</f>
        <v>1</v>
      </c>
    </row>
    <row r="29" spans="12:24" ht="15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6:24" ht="15">
      <c r="F30" s="3"/>
      <c r="L30" s="26" t="s">
        <v>26</v>
      </c>
      <c r="M30" s="27">
        <f>M24*0.2/$J$23</f>
        <v>0.0034106412005457027</v>
      </c>
      <c r="N30" s="27">
        <f aca="true" t="shared" si="18" ref="N30:X30">N24*0.7/$J$23</f>
        <v>0.03772169167803547</v>
      </c>
      <c r="O30" s="27">
        <f>O24*0.5/$J$23</f>
        <v>0.045702592087312414</v>
      </c>
      <c r="P30" s="27">
        <f t="shared" si="18"/>
        <v>0.05252387448840382</v>
      </c>
      <c r="Q30" s="27">
        <f>Q24*0.3/$J$23</f>
        <v>0.02762619372442019</v>
      </c>
      <c r="R30" s="27">
        <f t="shared" si="18"/>
        <v>0.06446111869031378</v>
      </c>
      <c r="S30" s="27">
        <f t="shared" si="18"/>
        <v>0.047748976807639835</v>
      </c>
      <c r="T30" s="27">
        <f>T24*0.2/$J$23</f>
        <v>0.013642564802182811</v>
      </c>
      <c r="U30" s="27">
        <f t="shared" si="18"/>
        <v>0.09788540245566166</v>
      </c>
      <c r="V30" s="27">
        <f t="shared" si="18"/>
        <v>0.07592087312414735</v>
      </c>
      <c r="W30" s="27">
        <f>W24*1.9/$J$23</f>
        <v>0.1931105047748977</v>
      </c>
      <c r="X30" s="27">
        <f t="shared" si="18"/>
        <v>0.06446111869031378</v>
      </c>
    </row>
    <row r="31" spans="6:24" ht="15">
      <c r="F31" s="3"/>
      <c r="L31" s="26" t="s">
        <v>27</v>
      </c>
      <c r="M31" s="27">
        <f>M30</f>
        <v>0.0034106412005457027</v>
      </c>
      <c r="N31" s="27">
        <f>M31+N30</f>
        <v>0.041132332878581174</v>
      </c>
      <c r="O31" s="27">
        <f aca="true" t="shared" si="19" ref="O31">N31+O30</f>
        <v>0.0868349249658936</v>
      </c>
      <c r="P31" s="31">
        <f aca="true" t="shared" si="20" ref="P31">O31+P30</f>
        <v>0.1393587994542974</v>
      </c>
      <c r="Q31" s="27">
        <f aca="true" t="shared" si="21" ref="Q31">P31+Q30</f>
        <v>0.1669849931787176</v>
      </c>
      <c r="R31" s="32">
        <f aca="true" t="shared" si="22" ref="R31">Q31+R30</f>
        <v>0.23144611186903136</v>
      </c>
      <c r="S31" s="35">
        <f aca="true" t="shared" si="23" ref="S31">R31+S30</f>
        <v>0.2791950886766712</v>
      </c>
      <c r="T31" s="27">
        <f aca="true" t="shared" si="24" ref="T31">S31+T30</f>
        <v>0.292837653478854</v>
      </c>
      <c r="U31" s="32">
        <f aca="true" t="shared" si="25" ref="U31">T31+U30</f>
        <v>0.3907230559345156</v>
      </c>
      <c r="V31" s="27">
        <f aca="true" t="shared" si="26" ref="V31">U31+V30</f>
        <v>0.466643929058663</v>
      </c>
      <c r="W31" s="27">
        <f aca="true" t="shared" si="27" ref="W31">V31+W30</f>
        <v>0.6597544338335607</v>
      </c>
      <c r="X31" s="32">
        <f aca="true" t="shared" si="28" ref="X31">W31+X30</f>
        <v>0.7242155525238745</v>
      </c>
    </row>
    <row r="32" spans="12:24" ht="15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12:24" ht="15">
      <c r="L33" s="26" t="s">
        <v>28</v>
      </c>
      <c r="M33" s="28">
        <f>M28-M31</f>
        <v>0.013642564802182811</v>
      </c>
      <c r="N33" s="28">
        <f aca="true" t="shared" si="29" ref="N33:X33">N28-N31</f>
        <v>0.02980900409276943</v>
      </c>
      <c r="O33" s="28">
        <f t="shared" si="29"/>
        <v>0.07551159618008182</v>
      </c>
      <c r="P33" s="28">
        <f t="shared" si="29"/>
        <v>0.09802182810368348</v>
      </c>
      <c r="Q33" s="30">
        <f t="shared" si="29"/>
        <v>0.16248294679399725</v>
      </c>
      <c r="R33" s="28">
        <f t="shared" si="29"/>
        <v>0.19010914051841749</v>
      </c>
      <c r="S33" s="28">
        <f t="shared" si="29"/>
        <v>0.2105729877216917</v>
      </c>
      <c r="T33" s="28">
        <f t="shared" si="29"/>
        <v>0.26514324693042296</v>
      </c>
      <c r="U33" s="28">
        <f t="shared" si="29"/>
        <v>0.3070941336971351</v>
      </c>
      <c r="V33" s="28">
        <f t="shared" si="29"/>
        <v>0.33963165075034113</v>
      </c>
      <c r="W33" s="28">
        <f t="shared" si="29"/>
        <v>0.2481582537517053</v>
      </c>
      <c r="X33" s="28">
        <f t="shared" si="29"/>
        <v>0.2757844474761255</v>
      </c>
    </row>
    <row r="34" spans="12:24" ht="15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11:24" ht="15">
      <c r="K35" s="3"/>
      <c r="L35" s="26" t="s">
        <v>44</v>
      </c>
      <c r="M35" s="27">
        <f>M24/2/$J$23</f>
        <v>0.008526603001364257</v>
      </c>
      <c r="N35" s="27">
        <f aca="true" t="shared" si="30" ref="N35:X35">N24/2/$J$23</f>
        <v>0.02694406548431105</v>
      </c>
      <c r="O35" s="27">
        <f t="shared" si="30"/>
        <v>0.045702592087312414</v>
      </c>
      <c r="P35" s="27">
        <f t="shared" si="30"/>
        <v>0.03751705320600273</v>
      </c>
      <c r="Q35" s="27">
        <f t="shared" si="30"/>
        <v>0.04604365620736699</v>
      </c>
      <c r="R35" s="27">
        <f t="shared" si="30"/>
        <v>0.04604365620736699</v>
      </c>
      <c r="S35" s="27">
        <f t="shared" si="30"/>
        <v>0.034106412005457026</v>
      </c>
      <c r="T35" s="27">
        <f t="shared" si="30"/>
        <v>0.034106412005457026</v>
      </c>
      <c r="U35" s="27">
        <f t="shared" si="30"/>
        <v>0.06991814461118691</v>
      </c>
      <c r="V35" s="27">
        <f t="shared" si="30"/>
        <v>0.05422919508867667</v>
      </c>
      <c r="W35" s="27">
        <f t="shared" si="30"/>
        <v>0.05081855388813097</v>
      </c>
      <c r="X35" s="27">
        <f t="shared" si="30"/>
        <v>0.04604365620736699</v>
      </c>
    </row>
    <row r="36" spans="12:24" ht="15">
      <c r="L36" s="26" t="s">
        <v>45</v>
      </c>
      <c r="M36" s="28">
        <f>M35-M30</f>
        <v>0.005115961800818554</v>
      </c>
      <c r="N36" s="28">
        <f>N35-N30</f>
        <v>-0.01077762619372442</v>
      </c>
      <c r="O36" s="28">
        <f aca="true" t="shared" si="31" ref="O36:X36">O35-O30</f>
        <v>0</v>
      </c>
      <c r="P36" s="28">
        <f t="shared" si="31"/>
        <v>-0.015006821282401092</v>
      </c>
      <c r="Q36" s="28">
        <f t="shared" si="31"/>
        <v>0.018417462482946796</v>
      </c>
      <c r="R36" s="28">
        <f t="shared" si="31"/>
        <v>-0.01841746248294679</v>
      </c>
      <c r="S36" s="29">
        <f t="shared" si="31"/>
        <v>-0.01364256480218281</v>
      </c>
      <c r="T36" s="28">
        <f t="shared" si="31"/>
        <v>0.020463847203274217</v>
      </c>
      <c r="U36" s="28">
        <f t="shared" si="31"/>
        <v>-0.02796725784447475</v>
      </c>
      <c r="V36" s="28">
        <f t="shared" si="31"/>
        <v>-0.021691678035470674</v>
      </c>
      <c r="W36" s="28">
        <f t="shared" si="31"/>
        <v>-0.14229195088676672</v>
      </c>
      <c r="X36" s="28">
        <f t="shared" si="31"/>
        <v>-0.01841746248294679</v>
      </c>
    </row>
    <row r="37" spans="3:7" ht="15">
      <c r="C37" s="45" t="s">
        <v>47</v>
      </c>
      <c r="E37" s="43"/>
      <c r="F37" s="9" t="s">
        <v>48</v>
      </c>
      <c r="G37" s="2"/>
    </row>
    <row r="38" spans="5:6" ht="15">
      <c r="E38" s="44">
        <v>25</v>
      </c>
      <c r="F38" s="9" t="s">
        <v>49</v>
      </c>
    </row>
    <row r="39" spans="5:6" ht="15">
      <c r="E39" s="34" t="s">
        <v>41</v>
      </c>
      <c r="F39" s="9" t="s">
        <v>51</v>
      </c>
    </row>
    <row r="40" spans="5:6" ht="15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eyeLoso</dc:creator>
  <cp:keywords/>
  <dc:description/>
  <cp:lastModifiedBy>CGD</cp:lastModifiedBy>
  <cp:lastPrinted>2022-11-08T04:42:49Z</cp:lastPrinted>
  <dcterms:created xsi:type="dcterms:W3CDTF">2022-10-22T03:20:24Z</dcterms:created>
  <dcterms:modified xsi:type="dcterms:W3CDTF">2023-01-31T12:15:09Z</dcterms:modified>
  <cp:category/>
  <cp:version/>
  <cp:contentType/>
  <cp:contentStatus/>
</cp:coreProperties>
</file>